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288" windowWidth="14808" windowHeight="7836"/>
  </bookViews>
  <sheets>
    <sheet name="Phụ lục điều chỉnh" sheetId="10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D135" i="10" l="1"/>
  <c r="F229" i="10"/>
  <c r="D142" i="10" l="1"/>
  <c r="F227" i="10"/>
  <c r="F228" i="10"/>
  <c r="D210" i="10"/>
  <c r="D202" i="10"/>
  <c r="E202" i="10"/>
  <c r="D6" i="10"/>
  <c r="E6" i="10"/>
  <c r="F10" i="10"/>
  <c r="F12" i="10"/>
  <c r="F15" i="10"/>
  <c r="F16" i="10"/>
  <c r="F17" i="10"/>
  <c r="F18" i="10"/>
  <c r="F20" i="10"/>
  <c r="F21" i="10"/>
  <c r="F23" i="10"/>
  <c r="F24" i="10"/>
  <c r="F25" i="10"/>
  <c r="F26" i="10"/>
  <c r="F32" i="10"/>
  <c r="F39" i="10"/>
  <c r="F45" i="10"/>
  <c r="F47" i="10"/>
  <c r="F49" i="10"/>
  <c r="F52" i="10"/>
  <c r="F53" i="10"/>
  <c r="F54" i="10"/>
  <c r="F55" i="10"/>
  <c r="F56" i="10"/>
  <c r="F57" i="10"/>
  <c r="F58" i="10"/>
  <c r="F59" i="10"/>
  <c r="F60" i="10"/>
  <c r="F64" i="10"/>
  <c r="F75" i="10"/>
  <c r="F76" i="10"/>
  <c r="F83" i="10"/>
  <c r="F84" i="10"/>
  <c r="F85" i="10"/>
  <c r="F87" i="10"/>
  <c r="F88" i="10"/>
  <c r="F90" i="10"/>
  <c r="F91" i="10"/>
  <c r="F96" i="10"/>
  <c r="F97" i="10"/>
  <c r="F104" i="10"/>
  <c r="F106" i="10"/>
  <c r="F108" i="10"/>
  <c r="F109" i="10"/>
  <c r="F110" i="10"/>
  <c r="F111" i="10"/>
  <c r="F112" i="10"/>
  <c r="F113" i="10"/>
  <c r="F114" i="10"/>
  <c r="F115" i="10"/>
  <c r="F116" i="10"/>
  <c r="F118" i="10"/>
  <c r="F122" i="10"/>
  <c r="F123" i="10"/>
  <c r="F124" i="10"/>
  <c r="F125" i="10"/>
  <c r="F126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170" i="10"/>
  <c r="F171" i="10"/>
  <c r="F172" i="10"/>
  <c r="F173" i="10"/>
  <c r="F174" i="10"/>
  <c r="F175" i="10"/>
  <c r="F176" i="10"/>
  <c r="F177" i="10"/>
  <c r="F178" i="10"/>
  <c r="F179" i="10"/>
  <c r="F180" i="10"/>
  <c r="F181" i="10"/>
  <c r="F182" i="10"/>
  <c r="F183" i="10"/>
  <c r="F184" i="10"/>
  <c r="F185" i="10"/>
  <c r="F186" i="10"/>
  <c r="F187" i="10"/>
  <c r="F188" i="10"/>
  <c r="F189" i="10"/>
  <c r="F190" i="10"/>
  <c r="F191" i="10"/>
  <c r="F192" i="10"/>
  <c r="F193" i="10"/>
  <c r="F194" i="10"/>
  <c r="F195" i="10"/>
  <c r="F196" i="10"/>
  <c r="F197" i="10"/>
  <c r="F198" i="10"/>
  <c r="F200" i="10"/>
  <c r="F201" i="10"/>
  <c r="F203" i="10"/>
  <c r="F204" i="10"/>
  <c r="F205" i="10"/>
  <c r="F206" i="10"/>
  <c r="F207" i="10"/>
  <c r="F208" i="10"/>
  <c r="F209" i="10"/>
  <c r="F213" i="10"/>
  <c r="F214" i="10"/>
  <c r="F215" i="10"/>
  <c r="F216" i="10"/>
  <c r="F217" i="10"/>
  <c r="F218" i="10"/>
  <c r="F221" i="10"/>
  <c r="F222" i="10"/>
  <c r="F223" i="10"/>
  <c r="F224" i="10"/>
  <c r="F225" i="10"/>
  <c r="F226" i="10"/>
  <c r="F211" i="10"/>
  <c r="D120" i="10"/>
  <c r="E120" i="10"/>
  <c r="C220" i="10"/>
  <c r="F220" i="10" s="1"/>
  <c r="C219" i="10"/>
  <c r="E219" i="10" s="1"/>
  <c r="E210" i="10" s="1"/>
  <c r="C212" i="10"/>
  <c r="F212" i="10" s="1"/>
  <c r="C202" i="10"/>
  <c r="C199" i="10"/>
  <c r="E199" i="10" s="1"/>
  <c r="E142" i="10" s="1"/>
  <c r="C168" i="10"/>
  <c r="C127" i="10"/>
  <c r="F127" i="10" s="1"/>
  <c r="C121" i="10"/>
  <c r="C117" i="10"/>
  <c r="F117" i="10" s="1"/>
  <c r="C107" i="10"/>
  <c r="F107" i="10" s="1"/>
  <c r="C105" i="10"/>
  <c r="F105" i="10" s="1"/>
  <c r="C104" i="10"/>
  <c r="C102" i="10"/>
  <c r="F102" i="10" s="1"/>
  <c r="C100" i="10"/>
  <c r="F100" i="10" s="1"/>
  <c r="C99" i="10"/>
  <c r="F99" i="10" s="1"/>
  <c r="C95" i="10"/>
  <c r="C101" i="10" s="1"/>
  <c r="F101" i="10" s="1"/>
  <c r="C94" i="10"/>
  <c r="F94" i="10" s="1"/>
  <c r="C93" i="10"/>
  <c r="F93" i="10" s="1"/>
  <c r="C89" i="10"/>
  <c r="F89" i="10" s="1"/>
  <c r="C88" i="10"/>
  <c r="C87" i="10"/>
  <c r="C82" i="10"/>
  <c r="F82" i="10" s="1"/>
  <c r="C81" i="10"/>
  <c r="F81" i="10" s="1"/>
  <c r="C80" i="10"/>
  <c r="F80" i="10" s="1"/>
  <c r="C79" i="10"/>
  <c r="F79" i="10" s="1"/>
  <c r="C77" i="10"/>
  <c r="F77" i="10" s="1"/>
  <c r="C76" i="10"/>
  <c r="C74" i="10"/>
  <c r="F74" i="10" s="1"/>
  <c r="C73" i="10"/>
  <c r="F73" i="10" s="1"/>
  <c r="C72" i="10"/>
  <c r="F72" i="10" s="1"/>
  <c r="C71" i="10"/>
  <c r="F71" i="10" s="1"/>
  <c r="C69" i="10"/>
  <c r="F69" i="10" s="1"/>
  <c r="C68" i="10"/>
  <c r="F68" i="10" s="1"/>
  <c r="C67" i="10"/>
  <c r="F67" i="10" s="1"/>
  <c r="C66" i="10"/>
  <c r="C65" i="10"/>
  <c r="F65" i="10" s="1"/>
  <c r="C64" i="10"/>
  <c r="C62" i="10"/>
  <c r="F62" i="10" s="1"/>
  <c r="C61" i="10"/>
  <c r="F61" i="10" s="1"/>
  <c r="C51" i="10"/>
  <c r="F51" i="10" s="1"/>
  <c r="C50" i="10"/>
  <c r="F50" i="10" s="1"/>
  <c r="C48" i="10"/>
  <c r="F48" i="10" s="1"/>
  <c r="C47" i="10"/>
  <c r="C46" i="10"/>
  <c r="F46" i="10" s="1"/>
  <c r="C45" i="10"/>
  <c r="C44" i="10"/>
  <c r="F44" i="10" s="1"/>
  <c r="C43" i="10"/>
  <c r="F43" i="10" s="1"/>
  <c r="C42" i="10"/>
  <c r="F42" i="10" s="1"/>
  <c r="C41" i="10"/>
  <c r="F41" i="10" s="1"/>
  <c r="C40" i="10"/>
  <c r="F40" i="10" s="1"/>
  <c r="C39" i="10"/>
  <c r="C36" i="10"/>
  <c r="F36" i="10" s="1"/>
  <c r="C35" i="10"/>
  <c r="C33" i="10"/>
  <c r="F33" i="10" s="1"/>
  <c r="C31" i="10"/>
  <c r="F31" i="10" s="1"/>
  <c r="C30" i="10"/>
  <c r="F30" i="10" s="1"/>
  <c r="C29" i="10"/>
  <c r="F29" i="10" s="1"/>
  <c r="C28" i="10"/>
  <c r="F28" i="10" s="1"/>
  <c r="C24" i="10"/>
  <c r="C22" i="10" s="1"/>
  <c r="F22" i="10" s="1"/>
  <c r="C19" i="10"/>
  <c r="C16" i="10" s="1"/>
  <c r="C14" i="10"/>
  <c r="C13" i="10" s="1"/>
  <c r="F13" i="10" s="1"/>
  <c r="C11" i="10"/>
  <c r="F11" i="10" s="1"/>
  <c r="C9" i="10"/>
  <c r="F9" i="10" s="1"/>
  <c r="C8" i="10"/>
  <c r="C7" i="10" s="1"/>
  <c r="F7" i="10" s="1"/>
  <c r="C103" i="10" l="1"/>
  <c r="F103" i="10" s="1"/>
  <c r="F14" i="10"/>
  <c r="F95" i="10"/>
  <c r="E141" i="10"/>
  <c r="C210" i="10"/>
  <c r="E119" i="10"/>
  <c r="E5" i="10"/>
  <c r="C98" i="10"/>
  <c r="F98" i="10" s="1"/>
  <c r="F219" i="10"/>
  <c r="F210" i="10" s="1"/>
  <c r="C34" i="10"/>
  <c r="F34" i="10" s="1"/>
  <c r="C63" i="10"/>
  <c r="F63" i="10" s="1"/>
  <c r="F199" i="10"/>
  <c r="F35" i="10"/>
  <c r="F19" i="10"/>
  <c r="F8" i="10"/>
  <c r="F66" i="10"/>
  <c r="F202" i="10"/>
  <c r="C142" i="10"/>
  <c r="F142" i="10" s="1"/>
  <c r="C120" i="10"/>
  <c r="F120" i="10" s="1"/>
  <c r="D141" i="10"/>
  <c r="D119" i="10" s="1"/>
  <c r="D5" i="10" s="1"/>
  <c r="F121" i="10"/>
  <c r="C38" i="10"/>
  <c r="F38" i="10" s="1"/>
  <c r="C27" i="10"/>
  <c r="F27" i="10" s="1"/>
  <c r="C70" i="10"/>
  <c r="C92" i="10"/>
  <c r="F92" i="10" s="1"/>
  <c r="C78" i="10"/>
  <c r="F78" i="10" s="1"/>
  <c r="C86" i="10"/>
  <c r="F86" i="10" s="1"/>
  <c r="F70" i="10" l="1"/>
  <c r="C37" i="10"/>
  <c r="C6" i="10" s="1"/>
  <c r="F6" i="10" s="1"/>
  <c r="C141" i="10"/>
  <c r="F141" i="10" s="1"/>
  <c r="F37" i="10" l="1"/>
  <c r="C119" i="10"/>
  <c r="C5" i="10" l="1"/>
  <c r="F119" i="10"/>
  <c r="F5" i="10" s="1"/>
</calcChain>
</file>

<file path=xl/sharedStrings.xml><?xml version="1.0" encoding="utf-8"?>
<sst xmlns="http://schemas.openxmlformats.org/spreadsheetml/2006/main" count="327" uniqueCount="227">
  <si>
    <t>TT</t>
  </si>
  <si>
    <t>I</t>
  </si>
  <si>
    <t>II</t>
  </si>
  <si>
    <t xml:space="preserve">A </t>
  </si>
  <si>
    <t>Chi thường xuyên</t>
  </si>
  <si>
    <t>Chi quản lý Nhà nước, Đảng, Đoàn thể</t>
  </si>
  <si>
    <t>b</t>
  </si>
  <si>
    <t>c</t>
  </si>
  <si>
    <t>Chi đầu tư phát triển và đầu tư công</t>
  </si>
  <si>
    <t>Chi đầu tư phát triển</t>
  </si>
  <si>
    <t xml:space="preserve">Hỗ trợ tháo dỡ tường rào, hiến đất làm đường </t>
  </si>
  <si>
    <t>Chi đầu tư công ngân sách năm 2024 (phần NS thị)</t>
  </si>
  <si>
    <t>Chi các công trình chuyển tiếp sang năm 2024 còn thiếu vốn</t>
  </si>
  <si>
    <t>Thảm nhựa mặt đường các TDP 3,4,7,8,9,15 (giai đoạn 2)</t>
  </si>
  <si>
    <t>Xây dựng nhà bia tưởng niệm các anh hùng liệt sỹ và đồng chí Nguyễn Đình Liễn</t>
  </si>
  <si>
    <t>Xây dựng đường, mương thoát nước khu dân cư TDP 14</t>
  </si>
  <si>
    <t>Các công trình khởi công mới 2024</t>
  </si>
  <si>
    <t xml:space="preserve"> Xây dựng phồi hồi mặt đường BTXM bằng thảm nhựa các TDP năm 2024 </t>
  </si>
  <si>
    <t>Chi lắp đặt Camera an ninh</t>
  </si>
  <si>
    <t>Chi xây dụng rãnh thoát nước trong khu dân cư (Rãnh xây gạch)</t>
  </si>
  <si>
    <t>Chi xây dựng mương tiêu thoát nước đường ĐH 131 đoạn đi qua TDP 5, thị trấn Cẩm Xuyên</t>
  </si>
  <si>
    <t>Chi làm sân bóng đá trường Tiểu học 2</t>
  </si>
  <si>
    <t xml:space="preserve">Chi mua sạp trường Mầm non </t>
  </si>
  <si>
    <t>Chi sữa chữa khuôn viên trụ sở UBND thị</t>
  </si>
  <si>
    <t>Chi nâng cấp, sữa chữa đường điện vào trường Tiểu học 2</t>
  </si>
  <si>
    <t>Chi hỗ trợ các TDP chỉnh trang khu dân cư và khuôn viên nhà văn hóa  (TDP 1; 5; 7; 10; 13; 16)</t>
  </si>
  <si>
    <t>Cải tạo, di dời Cổng chào đường Nguyễn Biên</t>
  </si>
  <si>
    <t>Chi mua sắm hệ thống âm thanh, loa máy, bàn ghế Hội trường UBND thị</t>
  </si>
  <si>
    <t>Chi bổ sung, nâng cấp hệ thống điện chiếu sáng các tuyến đường</t>
  </si>
  <si>
    <t>Chi trồng cây bóng mát tại các tuyến đường</t>
  </si>
  <si>
    <t>Chi công bố quy hoạch và cắm mốc quy hoạch chung thị trấn</t>
  </si>
  <si>
    <t>Tổng chi ngân sách (I+II+III)</t>
  </si>
  <si>
    <t>Sự nghiệp xã hội</t>
  </si>
  <si>
    <t>-</t>
  </si>
  <si>
    <t>Hưu xã 130</t>
  </si>
  <si>
    <t>Phụ cấp TNXP</t>
  </si>
  <si>
    <t>Chi xã hội khác + quà ĐTCS+ ngày thương binh liệt sỹ</t>
  </si>
  <si>
    <t>Chi hỗ trợ giáo dục</t>
  </si>
  <si>
    <t>Chi hoạt động</t>
  </si>
  <si>
    <t>Chi hỗ trợ y tế</t>
  </si>
  <si>
    <t>Hỗ trợ hàng tháng đối với công tác viên dân số, y tế TDP</t>
  </si>
  <si>
    <t>Chi hỗ trợ hoạt động y tế</t>
  </si>
  <si>
    <t>Chi sự nghiệp VH-TT</t>
  </si>
  <si>
    <t>Chi văn hóa</t>
  </si>
  <si>
    <t>Chi vận động toàn dân thực hiện xây dựng NTM, đô thị văn minh</t>
  </si>
  <si>
    <t>Chi hoạt động khu dân cư</t>
  </si>
  <si>
    <t>Chi truyền thanh</t>
  </si>
  <si>
    <t>Chi sự nghiệp TD-TT</t>
  </si>
  <si>
    <t>Chi sự nghiệp kinh tế</t>
  </si>
  <si>
    <t>Chi KP thực hiện đất trồng lúa</t>
  </si>
  <si>
    <t>Chi hỗ trợ xây dựng mô hình kinh tế, thực hiện phân loại rác theo NQ 83 và làm đệm lót sinh học</t>
  </si>
  <si>
    <t>Chi chăn nuôi (vắc xin, công tiêm phòng….)</t>
  </si>
  <si>
    <t xml:space="preserve">Chi xây dựng cách đồng mẫu, lúa hữu cơ </t>
  </si>
  <si>
    <t>Chi quân sự</t>
  </si>
  <si>
    <t xml:space="preserve">Chi trả lương, phụ cấp </t>
  </si>
  <si>
    <t>Phụ cấp công vụ</t>
  </si>
  <si>
    <t>Thanh toán BHXH, BHYT, Kinh phí công đoàn</t>
  </si>
  <si>
    <t>Chi trả phụ cấp thôn đội trưởng</t>
  </si>
  <si>
    <t>Chi hoạt động + Huấn luyện</t>
  </si>
  <si>
    <t>Phụ cấp dân quân tự vệ</t>
  </si>
  <si>
    <t>Chi Ban Công an</t>
  </si>
  <si>
    <t xml:space="preserve">Chi hoạt động </t>
  </si>
  <si>
    <t>Chi phụ cấp Công an viên</t>
  </si>
  <si>
    <t>9.1</t>
  </si>
  <si>
    <t>Chi Quản lý nhà nước</t>
  </si>
  <si>
    <t>Chi trả lương, phụ cấp, cán bộ chức danh</t>
  </si>
  <si>
    <t xml:space="preserve">Chi phụ cấp công vụ </t>
  </si>
  <si>
    <t>Chi trả BHXH, BHYT, Kinh phí công đoàn</t>
  </si>
  <si>
    <t>Phụ cấp kế toán, cán bộ phụ trách thông tin</t>
  </si>
  <si>
    <t>Chi phụ cấp, BHXH cho cán bộ hợp đồng, bán chuyên trách</t>
  </si>
  <si>
    <t>Chi trật tự đô thị, quản lý điện chiếu sáng</t>
  </si>
  <si>
    <t>Chi phụ cấp cho Tổ trưởng  (theo NQ 111)</t>
  </si>
  <si>
    <t>Chi bồi dưỡng những người trực tiếp tham gia công việc ở TDP (theo NQ 111)</t>
  </si>
  <si>
    <t>Chi trả p/c cho cán bộ làm giao dịch 1 cửa</t>
  </si>
  <si>
    <t>Phụ cấp kiểm soát thủ tục hành chính</t>
  </si>
  <si>
    <t xml:space="preserve">Phụ cấp các tổ chức </t>
  </si>
  <si>
    <t>Chi PC cán bộ dân phòng</t>
  </si>
  <si>
    <t>Chi hỗ trợ lực lượng xử lý rác thải hữu cơ tại nhà rác Chợ Hội</t>
  </si>
  <si>
    <t>Chi công tác hộ tịch, tuyên truyền pháp luật, hòa giải ở cơ sở</t>
  </si>
  <si>
    <t>Chi hỗ trợ HTX VSMT hoạt động</t>
  </si>
  <si>
    <t>Chi mua vật tư VPP, thiết bị văn phòng</t>
  </si>
  <si>
    <t>Kinh phí tiếp công dân</t>
  </si>
  <si>
    <t>Chi phô tô tài liệu</t>
  </si>
  <si>
    <t>Chi khen thưởng UB</t>
  </si>
  <si>
    <t>Chi hoạt động thường xuyên</t>
  </si>
  <si>
    <t xml:space="preserve">Chi trang cấp đồng phục bộ phận 1 cửa </t>
  </si>
  <si>
    <t>Xây dựng quy trình ISO 9001-2015</t>
  </si>
  <si>
    <t>Chi lễ, tết</t>
  </si>
  <si>
    <t>Chi trả tiền điện thắp sáng, tiền điện thoại, nước, tiền báo</t>
  </si>
  <si>
    <t>9.2</t>
  </si>
  <si>
    <t>Chi cho Hội đồng nhân dân</t>
  </si>
  <si>
    <t>Chi trả phụ cấp công vụ</t>
  </si>
  <si>
    <t>Chi thanh toán BHXH, BHYT, Kinh phí công đoàn</t>
  </si>
  <si>
    <t xml:space="preserve">Chi trả p/c TN các ban HĐND </t>
  </si>
  <si>
    <t>Pc Đại biểu HĐND</t>
  </si>
  <si>
    <t>9.3</t>
  </si>
  <si>
    <t>Chi cho Khối Đảng</t>
  </si>
  <si>
    <t>Chi trả phụ cấp BCH</t>
  </si>
  <si>
    <t>Chi trả phụ cấp cho UBKT Đảng</t>
  </si>
  <si>
    <t>Chi phụ cấp Bí thư TDP (theo NQ 111)</t>
  </si>
  <si>
    <t>9.4</t>
  </si>
  <si>
    <t>Chi cho Khối Mặt trận</t>
  </si>
  <si>
    <t>Chi hoạt động MT</t>
  </si>
  <si>
    <t>Chi đại hội MTTQ</t>
  </si>
  <si>
    <t>Chi hoạt động thanh tra nhân dân</t>
  </si>
  <si>
    <t>Chi ban giám sát cộng đồng</t>
  </si>
  <si>
    <t>9.5</t>
  </si>
  <si>
    <t>Chi cho Đoàn Thanh niên</t>
  </si>
  <si>
    <t>Chi hoạt động Đoàn TN</t>
  </si>
  <si>
    <t>Chi đại hội liên hiệp thanh niên</t>
  </si>
  <si>
    <t>9.6</t>
  </si>
  <si>
    <t>Chi cho Hội Phụ nữ</t>
  </si>
  <si>
    <t>Chi ban vì sự tiến bộ PN</t>
  </si>
  <si>
    <t>9.7</t>
  </si>
  <si>
    <t>Chi cho Hội Nông dân</t>
  </si>
  <si>
    <t>9.8</t>
  </si>
  <si>
    <t>Chi cho Hội Cựu Chiến Binh</t>
  </si>
  <si>
    <t>Chi trả lương, phụ cấp, KP CĐ</t>
  </si>
  <si>
    <t>9.9</t>
  </si>
  <si>
    <t xml:space="preserve">Chi hoạt động các tổ chức xã hội </t>
  </si>
  <si>
    <t>Chi hội cựu giáo chức</t>
  </si>
  <si>
    <t>Chi hội khuyến học</t>
  </si>
  <si>
    <t>Chi hoạt động 4 hội CTD, hội người mù, hội Khuyết tật....</t>
  </si>
  <si>
    <t xml:space="preserve">Chi hội cựu TNXP </t>
  </si>
  <si>
    <t>Chi hoạt công đoàn</t>
  </si>
  <si>
    <t xml:space="preserve">Chi hoạt động hội NCT </t>
  </si>
  <si>
    <t>Chi kinh phí mừng thọ</t>
  </si>
  <si>
    <t>9.10</t>
  </si>
  <si>
    <t>Chi khác ngân sách thị</t>
  </si>
  <si>
    <t>Chi tết trung thu + ngày quốc tế thiếu nhi cho các cháu</t>
  </si>
  <si>
    <t xml:space="preserve">Chi khác ngân sách </t>
  </si>
  <si>
    <t>Chi nguồn cải cách tiền lương</t>
  </si>
  <si>
    <t xml:space="preserve">Chi trả hỗ trợ đền bù GPMB cho các hộ dân </t>
  </si>
  <si>
    <t>Chi trả nợ đầu tư phát triển</t>
  </si>
  <si>
    <t>Hỗ trợ XD ngôi nhà trí tuệ</t>
  </si>
  <si>
    <t xml:space="preserve">Chi mua sắm tài sản </t>
  </si>
  <si>
    <t>Chi KP quy hoạch sử dựng đất</t>
  </si>
  <si>
    <t>Chi KP xác định giá, định vị, cắm mốc phân lô khu vực đấu giá</t>
  </si>
  <si>
    <t>Chi sữa chữa tài sản công</t>
  </si>
  <si>
    <t>a</t>
  </si>
  <si>
    <t xml:space="preserve">Chi trả nợ các công trình năm 2023 trở về trước </t>
  </si>
  <si>
    <t>Đường Nguyễn Đình Liễn</t>
  </si>
  <si>
    <t>Nhà ăn bán trú T.MN</t>
  </si>
  <si>
    <t>Tầng 3-4P Trường Tiểu học</t>
  </si>
  <si>
    <t>Cải tạo đường nội thị TDP 16</t>
  </si>
  <si>
    <t>Cải tạo mương thoát nước TDP 14</t>
  </si>
  <si>
    <t>Hạ tầng TDP 6</t>
  </si>
  <si>
    <t>Cải tạo nhà hội trường UBND thị trấn Cẩm Xuyên</t>
  </si>
  <si>
    <t>Khu tiểu công viên UBND thị trấn</t>
  </si>
  <si>
    <t>Thuê máy đào năm 2019</t>
  </si>
  <si>
    <t>San nền trú sở Công an cũ</t>
  </si>
  <si>
    <t>Đường GTNT ngõ ông Sính</t>
  </si>
  <si>
    <t>Nhà bếp trường Mầm non</t>
  </si>
  <si>
    <t>Nhà đa chức năng Tiểu Học</t>
  </si>
  <si>
    <t>Cải tạo Nhà học 2 tầng Tiểu Học</t>
  </si>
  <si>
    <t>San nền khuôn viên cây xanh và trung tâm văn hóa TDP 15</t>
  </si>
  <si>
    <t>Đường và mương thoát nước TDP 8</t>
  </si>
  <si>
    <t>Đường Nguyễn Đình Liễn (đoạn từ Trường THCS đến km0+338,5)</t>
  </si>
  <si>
    <t>Mương thoát nước và vĩa hè đường Nguyễn Đình Liễn</t>
  </si>
  <si>
    <t>Đường Nguyễn Đình Liễn (đoạn từ km0+338.5 đến km0+781.4)</t>
  </si>
  <si>
    <t>Đường và mương thoát nước khu dân cư TDP 10</t>
  </si>
  <si>
    <t>Chỉnh trang vĩa hè đoạn Tượng đài đến Trường Mầm Non CS 2</t>
  </si>
  <si>
    <t>Lát gạch sân Trường Trung học cơ sở</t>
  </si>
  <si>
    <t>Khuôn viên nhà văn hóa TDP 15 kết hợp sân TDTT và tiểu CV</t>
  </si>
  <si>
    <t>Trường TH TTCX (Lát sân, xây mương thoát nước khu nhà 3 tầng</t>
  </si>
  <si>
    <t>Vĩa hè đường Nguyễn Đình Liễn đoạn km0+338.5-km0+781.4</t>
  </si>
  <si>
    <t>Mương thoát nước tổ dân phố 8 (Tuyến 1+2). </t>
  </si>
  <si>
    <t>Cải tạo nhà học 2 tầng 12 phòng Trường Tiểu Học thị trấn Cẩm Xuyên</t>
  </si>
  <si>
    <t>Vĩa hè đường Nguyễn Đình Liễn đoạn km0+338,5</t>
  </si>
  <si>
    <t>Hạ tầng nghĩa trang</t>
  </si>
  <si>
    <t>Cải tạo khuôn viên Trường Mầm Non 2 (lát sân)</t>
  </si>
  <si>
    <t xml:space="preserve">Nhà văn hóa tổ dân phố 15 </t>
  </si>
  <si>
    <t>Nhà tiếp dân, một cữa thị trấn Cẩm Xuyên</t>
  </si>
  <si>
    <t>Cải tạo nhà ăn bán trú trường Tiểu Học 2</t>
  </si>
  <si>
    <t>Cải tạo nhà học 2 tầng 8 phòng Trường Tiểu Học 2</t>
  </si>
  <si>
    <t>Nâng cấp cải tạo nhà giao dịch một cữa</t>
  </si>
  <si>
    <t>Cải tạo nhà học 2 tầng 10 phòng Trường Tiểu Học 2</t>
  </si>
  <si>
    <t>Nhà hiệu bộ 3 tầng Trường Tiểu Học 1</t>
  </si>
  <si>
    <t>Nhà đa chức năng Trường Trung Học cơ sở</t>
  </si>
  <si>
    <t>Cải tạo SC tường rào, hành lang cầu TH cơ sở thị trấn Cẩm Xuyên</t>
  </si>
  <si>
    <t>Sân bóng đá mini Trường Trung Học cơ sở</t>
  </si>
  <si>
    <t>Tu bổ, Tôn tạo Di tích Đền Nguyễn Biên</t>
  </si>
  <si>
    <t xml:space="preserve">Nhà văn hóa tổ dân phố 6 </t>
  </si>
  <si>
    <t>Cầu ánh sáng led vượt đường</t>
  </si>
  <si>
    <t>Di dời đường điện 124</t>
  </si>
  <si>
    <t>Lê Kim Quý (thuê máy phá vườn tạp)</t>
  </si>
  <si>
    <t>Phục hồi nâng cấp mặt đường BTXM bằng vật liệu Carboncor (đường ngách hẻm) năm 2021</t>
  </si>
  <si>
    <t>Phục hồi nâng cấp mặt đường BTXM bằng vật liệu Carboncor (đường trục thị) năm 2021</t>
  </si>
  <si>
    <t>Phục hồi nâng cấp mặt đường BTXM bằng vật liệu Carboncor (đường ngõ phố) năm 2021</t>
  </si>
  <si>
    <t>Hạ tầng khu dân cư TDP 6, thị trấn Cẩm Xuyên</t>
  </si>
  <si>
    <t>Cải tạo, nâng cấp sân trường THCS (Lát sân)</t>
  </si>
  <si>
    <t>Kinh phí quy hoạch tổng thể nhà văn hóa các nhà văn TDP, quy hoạch đất ở, trường học</t>
  </si>
  <si>
    <t>Tôn tạo hồ nước, sân và hàng rào đền Cương Khấu Lộc Sơn</t>
  </si>
  <si>
    <t xml:space="preserve">Nâng cấp sân trường, thư viện xanh, sân bóng và các hạng mục khác Trường tiểu học </t>
  </si>
  <si>
    <t>Nhà văn hóa TDP 14</t>
  </si>
  <si>
    <t>Nhà văn hóa TDP 4</t>
  </si>
  <si>
    <t>Thảm nhựa mặt đường các TDP 3,4,7,8,9,15 (giai đoạn 1)</t>
  </si>
  <si>
    <t>Cải tạo, nâng cấp sân trường Tiểu học 1</t>
  </si>
  <si>
    <t>Xây dựng cổng, hàng rào, nhà bảo vệ trường TH1</t>
  </si>
  <si>
    <t xml:space="preserve">Xây dựng đường, mương thoát nước khu dân cư TDP 1 </t>
  </si>
  <si>
    <t>Xây dựng nhà Bái đường đền Cẩm Bào</t>
  </si>
  <si>
    <t>Cải tạo lát sân, hàng rào đền Cẩm Bào</t>
  </si>
  <si>
    <t>Nâng cấp đường vào đền thượng tướng Nguyễn Biên</t>
  </si>
  <si>
    <t xml:space="preserve">Nâng cấp hệ thống truyền thanh thị trấn Cẩm Xuyên </t>
  </si>
  <si>
    <t>Chi xây dựng đường, mương thoát nước khu dân cư TDP 10</t>
  </si>
  <si>
    <t>Chi xây dựng đường, mương thoát nước khu dân cư TDP 14 giai đoạn 2</t>
  </si>
  <si>
    <t>Cống thoát nước TDP 7</t>
  </si>
  <si>
    <t>Xây dựng Kênh bê tông nội đồng Tổ dân phố 7, thị trấn Cẩm Xuyên.</t>
  </si>
  <si>
    <t>Nhà văn hóa TDP 9</t>
  </si>
  <si>
    <t>Chỉnh trang di dời hệ thống cột điện ra khỏi hành lang đường GT</t>
  </si>
  <si>
    <t xml:space="preserve">Xây dựng rảnh thoát nước các TDP </t>
  </si>
  <si>
    <t xml:space="preserve">Xây dựng đường bê tông xi măng GTNT thị trấn Cẩm Xuyên năm 2024 </t>
  </si>
  <si>
    <t xml:space="preserve">Chi nâng cấp mở rộng mặt đường bê tông xi măng GTNT thị trấn Cẩm Xuyên năm 2024 </t>
  </si>
  <si>
    <t>Nâng cấp vỉa hè, mương thoát nước đường Phan Đình Giót đoạn cầu Hội đến xã Cẩm Quan</t>
  </si>
  <si>
    <t>Nâng cấp vỉa hè, mương thoát nước đường Nguyễn Biên đoạn cầu ông Bát</t>
  </si>
  <si>
    <t>Xây dựng nhà làm việc 3 tầng trụ sở UBND thị</t>
  </si>
  <si>
    <t>Nâng cấp mái che trường Mầm non và một số hạng mục khác</t>
  </si>
  <si>
    <t>Chăm sóc, bảo dưỡng cây xanh, hệ thống chiếu sáng và chỉnh trang đô thị</t>
  </si>
  <si>
    <t>III</t>
  </si>
  <si>
    <t>Dự phòng chi</t>
  </si>
  <si>
    <t>Điều chỉnh</t>
  </si>
  <si>
    <t>Tăng</t>
  </si>
  <si>
    <t>Giảm</t>
  </si>
  <si>
    <t>Dự toán sau điều chỉnh</t>
  </si>
  <si>
    <t>Nội dung</t>
  </si>
  <si>
    <t>Dự toán</t>
  </si>
  <si>
    <t>PHỤ LỤC ĐIỀU CHỈNH DỰ TOÁN THU, CHI VÀ VỐN ĐẦU TƯ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</si>
</sst>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.VnTime"/>
      <family val="2"/>
    </font>
    <font>
      <b/>
      <sz val="12"/>
      <name val=".VnTimeH"/>
      <family val="2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name val=".VnTime"/>
      <family val="2"/>
    </font>
    <font>
      <sz val="11"/>
      <name val="Times New Roman"/>
      <family val="1"/>
    </font>
    <font>
      <sz val="14"/>
      <name val="Times New Roman"/>
      <family val="1"/>
    </font>
    <font>
      <sz val="11"/>
      <name val=".VnTime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1" fillId="0" borderId="0" applyFont="0" applyFill="0" applyBorder="0" applyAlignment="0" applyProtection="0"/>
    <xf numFmtId="0" fontId="1" fillId="0" borderId="0"/>
    <xf numFmtId="0" fontId="1" fillId="0" borderId="0"/>
  </cellStyleXfs>
  <cellXfs count="42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0" fontId="7" fillId="2" borderId="0" xfId="0" applyFont="1" applyFill="1"/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8" fillId="2" borderId="2" xfId="0" applyFont="1" applyFill="1" applyBorder="1"/>
    <xf numFmtId="0" fontId="8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center" wrapText="1"/>
    </xf>
    <xf numFmtId="0" fontId="10" fillId="2" borderId="0" xfId="0" applyFont="1" applyFill="1"/>
    <xf numFmtId="0" fontId="6" fillId="2" borderId="3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164" fontId="8" fillId="2" borderId="2" xfId="1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/>
    </xf>
    <xf numFmtId="164" fontId="3" fillId="2" borderId="0" xfId="1" applyNumberFormat="1" applyFont="1" applyFill="1" applyBorder="1"/>
    <xf numFmtId="0" fontId="2" fillId="2" borderId="4" xfId="0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vertical="center"/>
    </xf>
    <xf numFmtId="164" fontId="2" fillId="2" borderId="2" xfId="1" applyNumberFormat="1" applyFont="1" applyFill="1" applyBorder="1" applyAlignment="1">
      <alignment vertical="center"/>
    </xf>
    <xf numFmtId="164" fontId="5" fillId="2" borderId="2" xfId="1" applyNumberFormat="1" applyFont="1" applyFill="1" applyBorder="1" applyAlignment="1">
      <alignment vertical="center"/>
    </xf>
    <xf numFmtId="164" fontId="3" fillId="2" borderId="0" xfId="1" applyNumberFormat="1" applyFont="1" applyFill="1"/>
    <xf numFmtId="164" fontId="5" fillId="2" borderId="2" xfId="1" applyNumberFormat="1" applyFont="1" applyFill="1" applyBorder="1" applyAlignment="1">
      <alignment horizontal="right"/>
    </xf>
    <xf numFmtId="0" fontId="5" fillId="2" borderId="2" xfId="0" quotePrefix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6" xfId="0" applyFont="1" applyFill="1" applyBorder="1"/>
    <xf numFmtId="0" fontId="6" fillId="2" borderId="2" xfId="0" applyFont="1" applyFill="1" applyBorder="1" applyAlignment="1">
      <alignment horizontal="left" vertical="center"/>
    </xf>
    <xf numFmtId="164" fontId="2" fillId="2" borderId="9" xfId="1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vertical="center"/>
    </xf>
    <xf numFmtId="164" fontId="5" fillId="2" borderId="3" xfId="1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/>
    </xf>
    <xf numFmtId="164" fontId="2" fillId="2" borderId="7" xfId="1" applyNumberFormat="1" applyFont="1" applyFill="1" applyBorder="1" applyAlignment="1">
      <alignment horizontal="center" vertical="center"/>
    </xf>
    <xf numFmtId="164" fontId="2" fillId="2" borderId="5" xfId="1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0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horizontal="center" vertical="center" wrapText="1"/>
    </xf>
  </cellXfs>
  <cellStyles count="8">
    <cellStyle name="Comma" xfId="1" builtinId="3"/>
    <cellStyle name="Comma 2" xfId="5"/>
    <cellStyle name="Normal" xfId="0" builtinId="0"/>
    <cellStyle name="Normal 10" xfId="7"/>
    <cellStyle name="Normal 11" xfId="2"/>
    <cellStyle name="Normal 12" xfId="3"/>
    <cellStyle name="Normal 2 2" xfId="6"/>
    <cellStyle name="Normal 9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&#7890;%20S&#416;%20K&#7870;%20TO&#193;N%202023\BAO%20C&#193;O%20H&#7884;P%20H&#272;ND%202023\C&#193;C%20LO&#7840;I%20BC%20H&#7884;P%20CU&#7888;I%20N&#258;M%202023\K&#7870;%20HO&#7840;CH%20&#272;&#7846;U%20T&#431;%20C&#212;NG%202024\K&#7870;%20HO&#7840;CH%20&#272;T%20CH&#7888;T%20CU&#7888;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Ế HOẠCH ĐẦU TƯ 2024"/>
      <sheetName val="KẾ HOẠCH CHI ĐẦU TƯ PHÁT TRIỂNỢ"/>
      <sheetName val="công nợ đến 30-11-2023"/>
    </sheetNames>
    <sheetDataSet>
      <sheetData sheetId="0">
        <row r="18">
          <cell r="J18">
            <v>13401578000</v>
          </cell>
        </row>
        <row r="118">
          <cell r="J118">
            <v>300000000</v>
          </cell>
        </row>
        <row r="125">
          <cell r="J125">
            <v>280000000</v>
          </cell>
        </row>
      </sheetData>
      <sheetData sheetId="1">
        <row r="9">
          <cell r="I9">
            <v>9245934000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9"/>
  <sheetViews>
    <sheetView tabSelected="1" topLeftCell="C1" workbookViewId="0">
      <selection activeCell="P15" sqref="P15:P16"/>
    </sheetView>
  </sheetViews>
  <sheetFormatPr defaultRowHeight="15" x14ac:dyDescent="0.25"/>
  <cols>
    <col min="1" max="1" width="4.6640625" style="7" customWidth="1"/>
    <col min="2" max="2" width="62.88671875" style="11" customWidth="1"/>
    <col min="3" max="3" width="16.44140625" style="23" customWidth="1"/>
    <col min="4" max="4" width="15.44140625" style="23" customWidth="1"/>
    <col min="5" max="5" width="16" style="23" customWidth="1"/>
    <col min="6" max="6" width="18.33203125" style="23" customWidth="1"/>
    <col min="7" max="233" width="8.88671875" style="1"/>
    <col min="234" max="234" width="5.88671875" style="1" customWidth="1"/>
    <col min="235" max="235" width="61.33203125" style="1" customWidth="1"/>
    <col min="236" max="236" width="17.6640625" style="1" customWidth="1"/>
    <col min="237" max="237" width="17.5546875" style="1" customWidth="1"/>
    <col min="238" max="238" width="12.6640625" style="1" bestFit="1" customWidth="1"/>
    <col min="239" max="239" width="16.6640625" style="1" customWidth="1"/>
    <col min="240" max="489" width="8.88671875" style="1"/>
    <col min="490" max="490" width="5.88671875" style="1" customWidth="1"/>
    <col min="491" max="491" width="61.33203125" style="1" customWidth="1"/>
    <col min="492" max="492" width="17.6640625" style="1" customWidth="1"/>
    <col min="493" max="493" width="17.5546875" style="1" customWidth="1"/>
    <col min="494" max="494" width="12.6640625" style="1" bestFit="1" customWidth="1"/>
    <col min="495" max="495" width="16.6640625" style="1" customWidth="1"/>
    <col min="496" max="745" width="8.88671875" style="1"/>
    <col min="746" max="746" width="5.88671875" style="1" customWidth="1"/>
    <col min="747" max="747" width="61.33203125" style="1" customWidth="1"/>
    <col min="748" max="748" width="17.6640625" style="1" customWidth="1"/>
    <col min="749" max="749" width="17.5546875" style="1" customWidth="1"/>
    <col min="750" max="750" width="12.6640625" style="1" bestFit="1" customWidth="1"/>
    <col min="751" max="751" width="16.6640625" style="1" customWidth="1"/>
    <col min="752" max="1001" width="8.88671875" style="1"/>
    <col min="1002" max="1002" width="5.88671875" style="1" customWidth="1"/>
    <col min="1003" max="1003" width="61.33203125" style="1" customWidth="1"/>
    <col min="1004" max="1004" width="17.6640625" style="1" customWidth="1"/>
    <col min="1005" max="1005" width="17.5546875" style="1" customWidth="1"/>
    <col min="1006" max="1006" width="12.6640625" style="1" bestFit="1" customWidth="1"/>
    <col min="1007" max="1007" width="16.6640625" style="1" customWidth="1"/>
    <col min="1008" max="1257" width="8.88671875" style="1"/>
    <col min="1258" max="1258" width="5.88671875" style="1" customWidth="1"/>
    <col min="1259" max="1259" width="61.33203125" style="1" customWidth="1"/>
    <col min="1260" max="1260" width="17.6640625" style="1" customWidth="1"/>
    <col min="1261" max="1261" width="17.5546875" style="1" customWidth="1"/>
    <col min="1262" max="1262" width="12.6640625" style="1" bestFit="1" customWidth="1"/>
    <col min="1263" max="1263" width="16.6640625" style="1" customWidth="1"/>
    <col min="1264" max="1513" width="8.88671875" style="1"/>
    <col min="1514" max="1514" width="5.88671875" style="1" customWidth="1"/>
    <col min="1515" max="1515" width="61.33203125" style="1" customWidth="1"/>
    <col min="1516" max="1516" width="17.6640625" style="1" customWidth="1"/>
    <col min="1517" max="1517" width="17.5546875" style="1" customWidth="1"/>
    <col min="1518" max="1518" width="12.6640625" style="1" bestFit="1" customWidth="1"/>
    <col min="1519" max="1519" width="16.6640625" style="1" customWidth="1"/>
    <col min="1520" max="1769" width="8.88671875" style="1"/>
    <col min="1770" max="1770" width="5.88671875" style="1" customWidth="1"/>
    <col min="1771" max="1771" width="61.33203125" style="1" customWidth="1"/>
    <col min="1772" max="1772" width="17.6640625" style="1" customWidth="1"/>
    <col min="1773" max="1773" width="17.5546875" style="1" customWidth="1"/>
    <col min="1774" max="1774" width="12.6640625" style="1" bestFit="1" customWidth="1"/>
    <col min="1775" max="1775" width="16.6640625" style="1" customWidth="1"/>
    <col min="1776" max="2025" width="8.88671875" style="1"/>
    <col min="2026" max="2026" width="5.88671875" style="1" customWidth="1"/>
    <col min="2027" max="2027" width="61.33203125" style="1" customWidth="1"/>
    <col min="2028" max="2028" width="17.6640625" style="1" customWidth="1"/>
    <col min="2029" max="2029" width="17.5546875" style="1" customWidth="1"/>
    <col min="2030" max="2030" width="12.6640625" style="1" bestFit="1" customWidth="1"/>
    <col min="2031" max="2031" width="16.6640625" style="1" customWidth="1"/>
    <col min="2032" max="2281" width="8.88671875" style="1"/>
    <col min="2282" max="2282" width="5.88671875" style="1" customWidth="1"/>
    <col min="2283" max="2283" width="61.33203125" style="1" customWidth="1"/>
    <col min="2284" max="2284" width="17.6640625" style="1" customWidth="1"/>
    <col min="2285" max="2285" width="17.5546875" style="1" customWidth="1"/>
    <col min="2286" max="2286" width="12.6640625" style="1" bestFit="1" customWidth="1"/>
    <col min="2287" max="2287" width="16.6640625" style="1" customWidth="1"/>
    <col min="2288" max="2537" width="8.88671875" style="1"/>
    <col min="2538" max="2538" width="5.88671875" style="1" customWidth="1"/>
    <col min="2539" max="2539" width="61.33203125" style="1" customWidth="1"/>
    <col min="2540" max="2540" width="17.6640625" style="1" customWidth="1"/>
    <col min="2541" max="2541" width="17.5546875" style="1" customWidth="1"/>
    <col min="2542" max="2542" width="12.6640625" style="1" bestFit="1" customWidth="1"/>
    <col min="2543" max="2543" width="16.6640625" style="1" customWidth="1"/>
    <col min="2544" max="2793" width="8.88671875" style="1"/>
    <col min="2794" max="2794" width="5.88671875" style="1" customWidth="1"/>
    <col min="2795" max="2795" width="61.33203125" style="1" customWidth="1"/>
    <col min="2796" max="2796" width="17.6640625" style="1" customWidth="1"/>
    <col min="2797" max="2797" width="17.5546875" style="1" customWidth="1"/>
    <col min="2798" max="2798" width="12.6640625" style="1" bestFit="1" customWidth="1"/>
    <col min="2799" max="2799" width="16.6640625" style="1" customWidth="1"/>
    <col min="2800" max="3049" width="8.88671875" style="1"/>
    <col min="3050" max="3050" width="5.88671875" style="1" customWidth="1"/>
    <col min="3051" max="3051" width="61.33203125" style="1" customWidth="1"/>
    <col min="3052" max="3052" width="17.6640625" style="1" customWidth="1"/>
    <col min="3053" max="3053" width="17.5546875" style="1" customWidth="1"/>
    <col min="3054" max="3054" width="12.6640625" style="1" bestFit="1" customWidth="1"/>
    <col min="3055" max="3055" width="16.6640625" style="1" customWidth="1"/>
    <col min="3056" max="3305" width="8.88671875" style="1"/>
    <col min="3306" max="3306" width="5.88671875" style="1" customWidth="1"/>
    <col min="3307" max="3307" width="61.33203125" style="1" customWidth="1"/>
    <col min="3308" max="3308" width="17.6640625" style="1" customWidth="1"/>
    <col min="3309" max="3309" width="17.5546875" style="1" customWidth="1"/>
    <col min="3310" max="3310" width="12.6640625" style="1" bestFit="1" customWidth="1"/>
    <col min="3311" max="3311" width="16.6640625" style="1" customWidth="1"/>
    <col min="3312" max="3561" width="8.88671875" style="1"/>
    <col min="3562" max="3562" width="5.88671875" style="1" customWidth="1"/>
    <col min="3563" max="3563" width="61.33203125" style="1" customWidth="1"/>
    <col min="3564" max="3564" width="17.6640625" style="1" customWidth="1"/>
    <col min="3565" max="3565" width="17.5546875" style="1" customWidth="1"/>
    <col min="3566" max="3566" width="12.6640625" style="1" bestFit="1" customWidth="1"/>
    <col min="3567" max="3567" width="16.6640625" style="1" customWidth="1"/>
    <col min="3568" max="3817" width="8.88671875" style="1"/>
    <col min="3818" max="3818" width="5.88671875" style="1" customWidth="1"/>
    <col min="3819" max="3819" width="61.33203125" style="1" customWidth="1"/>
    <col min="3820" max="3820" width="17.6640625" style="1" customWidth="1"/>
    <col min="3821" max="3821" width="17.5546875" style="1" customWidth="1"/>
    <col min="3822" max="3822" width="12.6640625" style="1" bestFit="1" customWidth="1"/>
    <col min="3823" max="3823" width="16.6640625" style="1" customWidth="1"/>
    <col min="3824" max="4073" width="8.88671875" style="1"/>
    <col min="4074" max="4074" width="5.88671875" style="1" customWidth="1"/>
    <col min="4075" max="4075" width="61.33203125" style="1" customWidth="1"/>
    <col min="4076" max="4076" width="17.6640625" style="1" customWidth="1"/>
    <col min="4077" max="4077" width="17.5546875" style="1" customWidth="1"/>
    <col min="4078" max="4078" width="12.6640625" style="1" bestFit="1" customWidth="1"/>
    <col min="4079" max="4079" width="16.6640625" style="1" customWidth="1"/>
    <col min="4080" max="4329" width="8.88671875" style="1"/>
    <col min="4330" max="4330" width="5.88671875" style="1" customWidth="1"/>
    <col min="4331" max="4331" width="61.33203125" style="1" customWidth="1"/>
    <col min="4332" max="4332" width="17.6640625" style="1" customWidth="1"/>
    <col min="4333" max="4333" width="17.5546875" style="1" customWidth="1"/>
    <col min="4334" max="4334" width="12.6640625" style="1" bestFit="1" customWidth="1"/>
    <col min="4335" max="4335" width="16.6640625" style="1" customWidth="1"/>
    <col min="4336" max="4585" width="8.88671875" style="1"/>
    <col min="4586" max="4586" width="5.88671875" style="1" customWidth="1"/>
    <col min="4587" max="4587" width="61.33203125" style="1" customWidth="1"/>
    <col min="4588" max="4588" width="17.6640625" style="1" customWidth="1"/>
    <col min="4589" max="4589" width="17.5546875" style="1" customWidth="1"/>
    <col min="4590" max="4590" width="12.6640625" style="1" bestFit="1" customWidth="1"/>
    <col min="4591" max="4591" width="16.6640625" style="1" customWidth="1"/>
    <col min="4592" max="4841" width="8.88671875" style="1"/>
    <col min="4842" max="4842" width="5.88671875" style="1" customWidth="1"/>
    <col min="4843" max="4843" width="61.33203125" style="1" customWidth="1"/>
    <col min="4844" max="4844" width="17.6640625" style="1" customWidth="1"/>
    <col min="4845" max="4845" width="17.5546875" style="1" customWidth="1"/>
    <col min="4846" max="4846" width="12.6640625" style="1" bestFit="1" customWidth="1"/>
    <col min="4847" max="4847" width="16.6640625" style="1" customWidth="1"/>
    <col min="4848" max="5097" width="8.88671875" style="1"/>
    <col min="5098" max="5098" width="5.88671875" style="1" customWidth="1"/>
    <col min="5099" max="5099" width="61.33203125" style="1" customWidth="1"/>
    <col min="5100" max="5100" width="17.6640625" style="1" customWidth="1"/>
    <col min="5101" max="5101" width="17.5546875" style="1" customWidth="1"/>
    <col min="5102" max="5102" width="12.6640625" style="1" bestFit="1" customWidth="1"/>
    <col min="5103" max="5103" width="16.6640625" style="1" customWidth="1"/>
    <col min="5104" max="5353" width="8.88671875" style="1"/>
    <col min="5354" max="5354" width="5.88671875" style="1" customWidth="1"/>
    <col min="5355" max="5355" width="61.33203125" style="1" customWidth="1"/>
    <col min="5356" max="5356" width="17.6640625" style="1" customWidth="1"/>
    <col min="5357" max="5357" width="17.5546875" style="1" customWidth="1"/>
    <col min="5358" max="5358" width="12.6640625" style="1" bestFit="1" customWidth="1"/>
    <col min="5359" max="5359" width="16.6640625" style="1" customWidth="1"/>
    <col min="5360" max="5609" width="8.88671875" style="1"/>
    <col min="5610" max="5610" width="5.88671875" style="1" customWidth="1"/>
    <col min="5611" max="5611" width="61.33203125" style="1" customWidth="1"/>
    <col min="5612" max="5612" width="17.6640625" style="1" customWidth="1"/>
    <col min="5613" max="5613" width="17.5546875" style="1" customWidth="1"/>
    <col min="5614" max="5614" width="12.6640625" style="1" bestFit="1" customWidth="1"/>
    <col min="5615" max="5615" width="16.6640625" style="1" customWidth="1"/>
    <col min="5616" max="5865" width="8.88671875" style="1"/>
    <col min="5866" max="5866" width="5.88671875" style="1" customWidth="1"/>
    <col min="5867" max="5867" width="61.33203125" style="1" customWidth="1"/>
    <col min="5868" max="5868" width="17.6640625" style="1" customWidth="1"/>
    <col min="5869" max="5869" width="17.5546875" style="1" customWidth="1"/>
    <col min="5870" max="5870" width="12.6640625" style="1" bestFit="1" customWidth="1"/>
    <col min="5871" max="5871" width="16.6640625" style="1" customWidth="1"/>
    <col min="5872" max="6121" width="8.88671875" style="1"/>
    <col min="6122" max="6122" width="5.88671875" style="1" customWidth="1"/>
    <col min="6123" max="6123" width="61.33203125" style="1" customWidth="1"/>
    <col min="6124" max="6124" width="17.6640625" style="1" customWidth="1"/>
    <col min="6125" max="6125" width="17.5546875" style="1" customWidth="1"/>
    <col min="6126" max="6126" width="12.6640625" style="1" bestFit="1" customWidth="1"/>
    <col min="6127" max="6127" width="16.6640625" style="1" customWidth="1"/>
    <col min="6128" max="6377" width="8.88671875" style="1"/>
    <col min="6378" max="6378" width="5.88671875" style="1" customWidth="1"/>
    <col min="6379" max="6379" width="61.33203125" style="1" customWidth="1"/>
    <col min="6380" max="6380" width="17.6640625" style="1" customWidth="1"/>
    <col min="6381" max="6381" width="17.5546875" style="1" customWidth="1"/>
    <col min="6382" max="6382" width="12.6640625" style="1" bestFit="1" customWidth="1"/>
    <col min="6383" max="6383" width="16.6640625" style="1" customWidth="1"/>
    <col min="6384" max="6633" width="8.88671875" style="1"/>
    <col min="6634" max="6634" width="5.88671875" style="1" customWidth="1"/>
    <col min="6635" max="6635" width="61.33203125" style="1" customWidth="1"/>
    <col min="6636" max="6636" width="17.6640625" style="1" customWidth="1"/>
    <col min="6637" max="6637" width="17.5546875" style="1" customWidth="1"/>
    <col min="6638" max="6638" width="12.6640625" style="1" bestFit="1" customWidth="1"/>
    <col min="6639" max="6639" width="16.6640625" style="1" customWidth="1"/>
    <col min="6640" max="6889" width="8.88671875" style="1"/>
    <col min="6890" max="6890" width="5.88671875" style="1" customWidth="1"/>
    <col min="6891" max="6891" width="61.33203125" style="1" customWidth="1"/>
    <col min="6892" max="6892" width="17.6640625" style="1" customWidth="1"/>
    <col min="6893" max="6893" width="17.5546875" style="1" customWidth="1"/>
    <col min="6894" max="6894" width="12.6640625" style="1" bestFit="1" customWidth="1"/>
    <col min="6895" max="6895" width="16.6640625" style="1" customWidth="1"/>
    <col min="6896" max="7145" width="8.88671875" style="1"/>
    <col min="7146" max="7146" width="5.88671875" style="1" customWidth="1"/>
    <col min="7147" max="7147" width="61.33203125" style="1" customWidth="1"/>
    <col min="7148" max="7148" width="17.6640625" style="1" customWidth="1"/>
    <col min="7149" max="7149" width="17.5546875" style="1" customWidth="1"/>
    <col min="7150" max="7150" width="12.6640625" style="1" bestFit="1" customWidth="1"/>
    <col min="7151" max="7151" width="16.6640625" style="1" customWidth="1"/>
    <col min="7152" max="7401" width="8.88671875" style="1"/>
    <col min="7402" max="7402" width="5.88671875" style="1" customWidth="1"/>
    <col min="7403" max="7403" width="61.33203125" style="1" customWidth="1"/>
    <col min="7404" max="7404" width="17.6640625" style="1" customWidth="1"/>
    <col min="7405" max="7405" width="17.5546875" style="1" customWidth="1"/>
    <col min="7406" max="7406" width="12.6640625" style="1" bestFit="1" customWidth="1"/>
    <col min="7407" max="7407" width="16.6640625" style="1" customWidth="1"/>
    <col min="7408" max="7657" width="8.88671875" style="1"/>
    <col min="7658" max="7658" width="5.88671875" style="1" customWidth="1"/>
    <col min="7659" max="7659" width="61.33203125" style="1" customWidth="1"/>
    <col min="7660" max="7660" width="17.6640625" style="1" customWidth="1"/>
    <col min="7661" max="7661" width="17.5546875" style="1" customWidth="1"/>
    <col min="7662" max="7662" width="12.6640625" style="1" bestFit="1" customWidth="1"/>
    <col min="7663" max="7663" width="16.6640625" style="1" customWidth="1"/>
    <col min="7664" max="7913" width="8.88671875" style="1"/>
    <col min="7914" max="7914" width="5.88671875" style="1" customWidth="1"/>
    <col min="7915" max="7915" width="61.33203125" style="1" customWidth="1"/>
    <col min="7916" max="7916" width="17.6640625" style="1" customWidth="1"/>
    <col min="7917" max="7917" width="17.5546875" style="1" customWidth="1"/>
    <col min="7918" max="7918" width="12.6640625" style="1" bestFit="1" customWidth="1"/>
    <col min="7919" max="7919" width="16.6640625" style="1" customWidth="1"/>
    <col min="7920" max="8169" width="8.88671875" style="1"/>
    <col min="8170" max="8170" width="5.88671875" style="1" customWidth="1"/>
    <col min="8171" max="8171" width="61.33203125" style="1" customWidth="1"/>
    <col min="8172" max="8172" width="17.6640625" style="1" customWidth="1"/>
    <col min="8173" max="8173" width="17.5546875" style="1" customWidth="1"/>
    <col min="8174" max="8174" width="12.6640625" style="1" bestFit="1" customWidth="1"/>
    <col min="8175" max="8175" width="16.6640625" style="1" customWidth="1"/>
    <col min="8176" max="8425" width="8.88671875" style="1"/>
    <col min="8426" max="8426" width="5.88671875" style="1" customWidth="1"/>
    <col min="8427" max="8427" width="61.33203125" style="1" customWidth="1"/>
    <col min="8428" max="8428" width="17.6640625" style="1" customWidth="1"/>
    <col min="8429" max="8429" width="17.5546875" style="1" customWidth="1"/>
    <col min="8430" max="8430" width="12.6640625" style="1" bestFit="1" customWidth="1"/>
    <col min="8431" max="8431" width="16.6640625" style="1" customWidth="1"/>
    <col min="8432" max="8681" width="8.88671875" style="1"/>
    <col min="8682" max="8682" width="5.88671875" style="1" customWidth="1"/>
    <col min="8683" max="8683" width="61.33203125" style="1" customWidth="1"/>
    <col min="8684" max="8684" width="17.6640625" style="1" customWidth="1"/>
    <col min="8685" max="8685" width="17.5546875" style="1" customWidth="1"/>
    <col min="8686" max="8686" width="12.6640625" style="1" bestFit="1" customWidth="1"/>
    <col min="8687" max="8687" width="16.6640625" style="1" customWidth="1"/>
    <col min="8688" max="8937" width="8.88671875" style="1"/>
    <col min="8938" max="8938" width="5.88671875" style="1" customWidth="1"/>
    <col min="8939" max="8939" width="61.33203125" style="1" customWidth="1"/>
    <col min="8940" max="8940" width="17.6640625" style="1" customWidth="1"/>
    <col min="8941" max="8941" width="17.5546875" style="1" customWidth="1"/>
    <col min="8942" max="8942" width="12.6640625" style="1" bestFit="1" customWidth="1"/>
    <col min="8943" max="8943" width="16.6640625" style="1" customWidth="1"/>
    <col min="8944" max="9193" width="8.88671875" style="1"/>
    <col min="9194" max="9194" width="5.88671875" style="1" customWidth="1"/>
    <col min="9195" max="9195" width="61.33203125" style="1" customWidth="1"/>
    <col min="9196" max="9196" width="17.6640625" style="1" customWidth="1"/>
    <col min="9197" max="9197" width="17.5546875" style="1" customWidth="1"/>
    <col min="9198" max="9198" width="12.6640625" style="1" bestFit="1" customWidth="1"/>
    <col min="9199" max="9199" width="16.6640625" style="1" customWidth="1"/>
    <col min="9200" max="9449" width="8.88671875" style="1"/>
    <col min="9450" max="9450" width="5.88671875" style="1" customWidth="1"/>
    <col min="9451" max="9451" width="61.33203125" style="1" customWidth="1"/>
    <col min="9452" max="9452" width="17.6640625" style="1" customWidth="1"/>
    <col min="9453" max="9453" width="17.5546875" style="1" customWidth="1"/>
    <col min="9454" max="9454" width="12.6640625" style="1" bestFit="1" customWidth="1"/>
    <col min="9455" max="9455" width="16.6640625" style="1" customWidth="1"/>
    <col min="9456" max="9705" width="8.88671875" style="1"/>
    <col min="9706" max="9706" width="5.88671875" style="1" customWidth="1"/>
    <col min="9707" max="9707" width="61.33203125" style="1" customWidth="1"/>
    <col min="9708" max="9708" width="17.6640625" style="1" customWidth="1"/>
    <col min="9709" max="9709" width="17.5546875" style="1" customWidth="1"/>
    <col min="9710" max="9710" width="12.6640625" style="1" bestFit="1" customWidth="1"/>
    <col min="9711" max="9711" width="16.6640625" style="1" customWidth="1"/>
    <col min="9712" max="9961" width="8.88671875" style="1"/>
    <col min="9962" max="9962" width="5.88671875" style="1" customWidth="1"/>
    <col min="9963" max="9963" width="61.33203125" style="1" customWidth="1"/>
    <col min="9964" max="9964" width="17.6640625" style="1" customWidth="1"/>
    <col min="9965" max="9965" width="17.5546875" style="1" customWidth="1"/>
    <col min="9966" max="9966" width="12.6640625" style="1" bestFit="1" customWidth="1"/>
    <col min="9967" max="9967" width="16.6640625" style="1" customWidth="1"/>
    <col min="9968" max="10217" width="8.88671875" style="1"/>
    <col min="10218" max="10218" width="5.88671875" style="1" customWidth="1"/>
    <col min="10219" max="10219" width="61.33203125" style="1" customWidth="1"/>
    <col min="10220" max="10220" width="17.6640625" style="1" customWidth="1"/>
    <col min="10221" max="10221" width="17.5546875" style="1" customWidth="1"/>
    <col min="10222" max="10222" width="12.6640625" style="1" bestFit="1" customWidth="1"/>
    <col min="10223" max="10223" width="16.6640625" style="1" customWidth="1"/>
    <col min="10224" max="10473" width="8.88671875" style="1"/>
    <col min="10474" max="10474" width="5.88671875" style="1" customWidth="1"/>
    <col min="10475" max="10475" width="61.33203125" style="1" customWidth="1"/>
    <col min="10476" max="10476" width="17.6640625" style="1" customWidth="1"/>
    <col min="10477" max="10477" width="17.5546875" style="1" customWidth="1"/>
    <col min="10478" max="10478" width="12.6640625" style="1" bestFit="1" customWidth="1"/>
    <col min="10479" max="10479" width="16.6640625" style="1" customWidth="1"/>
    <col min="10480" max="10729" width="8.88671875" style="1"/>
    <col min="10730" max="10730" width="5.88671875" style="1" customWidth="1"/>
    <col min="10731" max="10731" width="61.33203125" style="1" customWidth="1"/>
    <col min="10732" max="10732" width="17.6640625" style="1" customWidth="1"/>
    <col min="10733" max="10733" width="17.5546875" style="1" customWidth="1"/>
    <col min="10734" max="10734" width="12.6640625" style="1" bestFit="1" customWidth="1"/>
    <col min="10735" max="10735" width="16.6640625" style="1" customWidth="1"/>
    <col min="10736" max="10985" width="8.88671875" style="1"/>
    <col min="10986" max="10986" width="5.88671875" style="1" customWidth="1"/>
    <col min="10987" max="10987" width="61.33203125" style="1" customWidth="1"/>
    <col min="10988" max="10988" width="17.6640625" style="1" customWidth="1"/>
    <col min="10989" max="10989" width="17.5546875" style="1" customWidth="1"/>
    <col min="10990" max="10990" width="12.6640625" style="1" bestFit="1" customWidth="1"/>
    <col min="10991" max="10991" width="16.6640625" style="1" customWidth="1"/>
    <col min="10992" max="11241" width="8.88671875" style="1"/>
    <col min="11242" max="11242" width="5.88671875" style="1" customWidth="1"/>
    <col min="11243" max="11243" width="61.33203125" style="1" customWidth="1"/>
    <col min="11244" max="11244" width="17.6640625" style="1" customWidth="1"/>
    <col min="11245" max="11245" width="17.5546875" style="1" customWidth="1"/>
    <col min="11246" max="11246" width="12.6640625" style="1" bestFit="1" customWidth="1"/>
    <col min="11247" max="11247" width="16.6640625" style="1" customWidth="1"/>
    <col min="11248" max="11497" width="8.88671875" style="1"/>
    <col min="11498" max="11498" width="5.88671875" style="1" customWidth="1"/>
    <col min="11499" max="11499" width="61.33203125" style="1" customWidth="1"/>
    <col min="11500" max="11500" width="17.6640625" style="1" customWidth="1"/>
    <col min="11501" max="11501" width="17.5546875" style="1" customWidth="1"/>
    <col min="11502" max="11502" width="12.6640625" style="1" bestFit="1" customWidth="1"/>
    <col min="11503" max="11503" width="16.6640625" style="1" customWidth="1"/>
    <col min="11504" max="11753" width="8.88671875" style="1"/>
    <col min="11754" max="11754" width="5.88671875" style="1" customWidth="1"/>
    <col min="11755" max="11755" width="61.33203125" style="1" customWidth="1"/>
    <col min="11756" max="11756" width="17.6640625" style="1" customWidth="1"/>
    <col min="11757" max="11757" width="17.5546875" style="1" customWidth="1"/>
    <col min="11758" max="11758" width="12.6640625" style="1" bestFit="1" customWidth="1"/>
    <col min="11759" max="11759" width="16.6640625" style="1" customWidth="1"/>
    <col min="11760" max="12009" width="8.88671875" style="1"/>
    <col min="12010" max="12010" width="5.88671875" style="1" customWidth="1"/>
    <col min="12011" max="12011" width="61.33203125" style="1" customWidth="1"/>
    <col min="12012" max="12012" width="17.6640625" style="1" customWidth="1"/>
    <col min="12013" max="12013" width="17.5546875" style="1" customWidth="1"/>
    <col min="12014" max="12014" width="12.6640625" style="1" bestFit="1" customWidth="1"/>
    <col min="12015" max="12015" width="16.6640625" style="1" customWidth="1"/>
    <col min="12016" max="12265" width="8.88671875" style="1"/>
    <col min="12266" max="12266" width="5.88671875" style="1" customWidth="1"/>
    <col min="12267" max="12267" width="61.33203125" style="1" customWidth="1"/>
    <col min="12268" max="12268" width="17.6640625" style="1" customWidth="1"/>
    <col min="12269" max="12269" width="17.5546875" style="1" customWidth="1"/>
    <col min="12270" max="12270" width="12.6640625" style="1" bestFit="1" customWidth="1"/>
    <col min="12271" max="12271" width="16.6640625" style="1" customWidth="1"/>
    <col min="12272" max="12521" width="8.88671875" style="1"/>
    <col min="12522" max="12522" width="5.88671875" style="1" customWidth="1"/>
    <col min="12523" max="12523" width="61.33203125" style="1" customWidth="1"/>
    <col min="12524" max="12524" width="17.6640625" style="1" customWidth="1"/>
    <col min="12525" max="12525" width="17.5546875" style="1" customWidth="1"/>
    <col min="12526" max="12526" width="12.6640625" style="1" bestFit="1" customWidth="1"/>
    <col min="12527" max="12527" width="16.6640625" style="1" customWidth="1"/>
    <col min="12528" max="12777" width="8.88671875" style="1"/>
    <col min="12778" max="12778" width="5.88671875" style="1" customWidth="1"/>
    <col min="12779" max="12779" width="61.33203125" style="1" customWidth="1"/>
    <col min="12780" max="12780" width="17.6640625" style="1" customWidth="1"/>
    <col min="12781" max="12781" width="17.5546875" style="1" customWidth="1"/>
    <col min="12782" max="12782" width="12.6640625" style="1" bestFit="1" customWidth="1"/>
    <col min="12783" max="12783" width="16.6640625" style="1" customWidth="1"/>
    <col min="12784" max="13033" width="8.88671875" style="1"/>
    <col min="13034" max="13034" width="5.88671875" style="1" customWidth="1"/>
    <col min="13035" max="13035" width="61.33203125" style="1" customWidth="1"/>
    <col min="13036" max="13036" width="17.6640625" style="1" customWidth="1"/>
    <col min="13037" max="13037" width="17.5546875" style="1" customWidth="1"/>
    <col min="13038" max="13038" width="12.6640625" style="1" bestFit="1" customWidth="1"/>
    <col min="13039" max="13039" width="16.6640625" style="1" customWidth="1"/>
    <col min="13040" max="13289" width="8.88671875" style="1"/>
    <col min="13290" max="13290" width="5.88671875" style="1" customWidth="1"/>
    <col min="13291" max="13291" width="61.33203125" style="1" customWidth="1"/>
    <col min="13292" max="13292" width="17.6640625" style="1" customWidth="1"/>
    <col min="13293" max="13293" width="17.5546875" style="1" customWidth="1"/>
    <col min="13294" max="13294" width="12.6640625" style="1" bestFit="1" customWidth="1"/>
    <col min="13295" max="13295" width="16.6640625" style="1" customWidth="1"/>
    <col min="13296" max="13545" width="8.88671875" style="1"/>
    <col min="13546" max="13546" width="5.88671875" style="1" customWidth="1"/>
    <col min="13547" max="13547" width="61.33203125" style="1" customWidth="1"/>
    <col min="13548" max="13548" width="17.6640625" style="1" customWidth="1"/>
    <col min="13549" max="13549" width="17.5546875" style="1" customWidth="1"/>
    <col min="13550" max="13550" width="12.6640625" style="1" bestFit="1" customWidth="1"/>
    <col min="13551" max="13551" width="16.6640625" style="1" customWidth="1"/>
    <col min="13552" max="13801" width="8.88671875" style="1"/>
    <col min="13802" max="13802" width="5.88671875" style="1" customWidth="1"/>
    <col min="13803" max="13803" width="61.33203125" style="1" customWidth="1"/>
    <col min="13804" max="13804" width="17.6640625" style="1" customWidth="1"/>
    <col min="13805" max="13805" width="17.5546875" style="1" customWidth="1"/>
    <col min="13806" max="13806" width="12.6640625" style="1" bestFit="1" customWidth="1"/>
    <col min="13807" max="13807" width="16.6640625" style="1" customWidth="1"/>
    <col min="13808" max="14057" width="8.88671875" style="1"/>
    <col min="14058" max="14058" width="5.88671875" style="1" customWidth="1"/>
    <col min="14059" max="14059" width="61.33203125" style="1" customWidth="1"/>
    <col min="14060" max="14060" width="17.6640625" style="1" customWidth="1"/>
    <col min="14061" max="14061" width="17.5546875" style="1" customWidth="1"/>
    <col min="14062" max="14062" width="12.6640625" style="1" bestFit="1" customWidth="1"/>
    <col min="14063" max="14063" width="16.6640625" style="1" customWidth="1"/>
    <col min="14064" max="14313" width="8.88671875" style="1"/>
    <col min="14314" max="14314" width="5.88671875" style="1" customWidth="1"/>
    <col min="14315" max="14315" width="61.33203125" style="1" customWidth="1"/>
    <col min="14316" max="14316" width="17.6640625" style="1" customWidth="1"/>
    <col min="14317" max="14317" width="17.5546875" style="1" customWidth="1"/>
    <col min="14318" max="14318" width="12.6640625" style="1" bestFit="1" customWidth="1"/>
    <col min="14319" max="14319" width="16.6640625" style="1" customWidth="1"/>
    <col min="14320" max="14569" width="8.88671875" style="1"/>
    <col min="14570" max="14570" width="5.88671875" style="1" customWidth="1"/>
    <col min="14571" max="14571" width="61.33203125" style="1" customWidth="1"/>
    <col min="14572" max="14572" width="17.6640625" style="1" customWidth="1"/>
    <col min="14573" max="14573" width="17.5546875" style="1" customWidth="1"/>
    <col min="14574" max="14574" width="12.6640625" style="1" bestFit="1" customWidth="1"/>
    <col min="14575" max="14575" width="16.6640625" style="1" customWidth="1"/>
    <col min="14576" max="14825" width="8.88671875" style="1"/>
    <col min="14826" max="14826" width="5.88671875" style="1" customWidth="1"/>
    <col min="14827" max="14827" width="61.33203125" style="1" customWidth="1"/>
    <col min="14828" max="14828" width="17.6640625" style="1" customWidth="1"/>
    <col min="14829" max="14829" width="17.5546875" style="1" customWidth="1"/>
    <col min="14830" max="14830" width="12.6640625" style="1" bestFit="1" customWidth="1"/>
    <col min="14831" max="14831" width="16.6640625" style="1" customWidth="1"/>
    <col min="14832" max="15081" width="8.88671875" style="1"/>
    <col min="15082" max="15082" width="5.88671875" style="1" customWidth="1"/>
    <col min="15083" max="15083" width="61.33203125" style="1" customWidth="1"/>
    <col min="15084" max="15084" width="17.6640625" style="1" customWidth="1"/>
    <col min="15085" max="15085" width="17.5546875" style="1" customWidth="1"/>
    <col min="15086" max="15086" width="12.6640625" style="1" bestFit="1" customWidth="1"/>
    <col min="15087" max="15087" width="16.6640625" style="1" customWidth="1"/>
    <col min="15088" max="15337" width="8.88671875" style="1"/>
    <col min="15338" max="15338" width="5.88671875" style="1" customWidth="1"/>
    <col min="15339" max="15339" width="61.33203125" style="1" customWidth="1"/>
    <col min="15340" max="15340" width="17.6640625" style="1" customWidth="1"/>
    <col min="15341" max="15341" width="17.5546875" style="1" customWidth="1"/>
    <col min="15342" max="15342" width="12.6640625" style="1" bestFit="1" customWidth="1"/>
    <col min="15343" max="15343" width="16.6640625" style="1" customWidth="1"/>
    <col min="15344" max="15593" width="8.88671875" style="1"/>
    <col min="15594" max="15594" width="5.88671875" style="1" customWidth="1"/>
    <col min="15595" max="15595" width="61.33203125" style="1" customWidth="1"/>
    <col min="15596" max="15596" width="17.6640625" style="1" customWidth="1"/>
    <col min="15597" max="15597" width="17.5546875" style="1" customWidth="1"/>
    <col min="15598" max="15598" width="12.6640625" style="1" bestFit="1" customWidth="1"/>
    <col min="15599" max="15599" width="16.6640625" style="1" customWidth="1"/>
    <col min="15600" max="15849" width="8.88671875" style="1"/>
    <col min="15850" max="15850" width="5.88671875" style="1" customWidth="1"/>
    <col min="15851" max="15851" width="61.33203125" style="1" customWidth="1"/>
    <col min="15852" max="15852" width="17.6640625" style="1" customWidth="1"/>
    <col min="15853" max="15853" width="17.5546875" style="1" customWidth="1"/>
    <col min="15854" max="15854" width="12.6640625" style="1" bestFit="1" customWidth="1"/>
    <col min="15855" max="15855" width="16.6640625" style="1" customWidth="1"/>
    <col min="15856" max="16105" width="8.88671875" style="1"/>
    <col min="16106" max="16106" width="5.88671875" style="1" customWidth="1"/>
    <col min="16107" max="16107" width="61.33203125" style="1" customWidth="1"/>
    <col min="16108" max="16108" width="17.6640625" style="1" customWidth="1"/>
    <col min="16109" max="16109" width="17.5546875" style="1" customWidth="1"/>
    <col min="16110" max="16110" width="12.6640625" style="1" bestFit="1" customWidth="1"/>
    <col min="16111" max="16111" width="16.6640625" style="1" customWidth="1"/>
    <col min="16112" max="16360" width="8.88671875" style="1"/>
    <col min="16361" max="16384" width="9.109375" style="1" customWidth="1"/>
  </cols>
  <sheetData>
    <row r="1" spans="1:6" ht="21.6" customHeight="1" x14ac:dyDescent="0.3">
      <c r="A1" s="33" t="s">
        <v>226</v>
      </c>
      <c r="B1" s="33"/>
      <c r="C1" s="33"/>
      <c r="D1" s="33"/>
      <c r="E1" s="33"/>
      <c r="F1" s="33"/>
    </row>
    <row r="2" spans="1:6" ht="15.6" x14ac:dyDescent="0.3">
      <c r="A2" s="16"/>
      <c r="B2" s="16"/>
      <c r="C2" s="17"/>
      <c r="D2" s="17"/>
      <c r="E2" s="17"/>
      <c r="F2" s="17"/>
    </row>
    <row r="3" spans="1:6" s="2" customFormat="1" ht="16.8" x14ac:dyDescent="0.3">
      <c r="A3" s="36" t="s">
        <v>0</v>
      </c>
      <c r="B3" s="36" t="s">
        <v>224</v>
      </c>
      <c r="C3" s="39" t="s">
        <v>225</v>
      </c>
      <c r="D3" s="34" t="s">
        <v>220</v>
      </c>
      <c r="E3" s="35"/>
      <c r="F3" s="41" t="s">
        <v>223</v>
      </c>
    </row>
    <row r="4" spans="1:6" s="2" customFormat="1" ht="16.8" x14ac:dyDescent="0.3">
      <c r="A4" s="37"/>
      <c r="B4" s="38"/>
      <c r="C4" s="40"/>
      <c r="D4" s="19" t="s">
        <v>221</v>
      </c>
      <c r="E4" s="29" t="s">
        <v>222</v>
      </c>
      <c r="F4" s="41"/>
    </row>
    <row r="5" spans="1:6" s="3" customFormat="1" ht="15.6" x14ac:dyDescent="0.3">
      <c r="A5" s="18" t="s">
        <v>3</v>
      </c>
      <c r="B5" s="30" t="s">
        <v>31</v>
      </c>
      <c r="C5" s="31">
        <f>C6+C119+C229</f>
        <v>59881702000.275169</v>
      </c>
      <c r="D5" s="31">
        <f t="shared" ref="D5:F5" si="0">D6+D119+D229</f>
        <v>7057128000</v>
      </c>
      <c r="E5" s="31">
        <f t="shared" si="0"/>
        <v>7057128000</v>
      </c>
      <c r="F5" s="31">
        <f t="shared" si="0"/>
        <v>59881702000.275169</v>
      </c>
    </row>
    <row r="6" spans="1:6" s="3" customFormat="1" ht="15.6" x14ac:dyDescent="0.3">
      <c r="A6" s="4" t="s">
        <v>1</v>
      </c>
      <c r="B6" s="12" t="s">
        <v>4</v>
      </c>
      <c r="C6" s="20">
        <f>C7+C11+C13+C16+C21+C22+C27+C34+C37+C118</f>
        <v>11444911000.275167</v>
      </c>
      <c r="D6" s="20">
        <f t="shared" ref="D6:E6" si="1">D7+D11+D13+D16+D21+D22+D27+D34+D37+D118</f>
        <v>0</v>
      </c>
      <c r="E6" s="20">
        <f t="shared" si="1"/>
        <v>0</v>
      </c>
      <c r="F6" s="20">
        <f>C6+D6-E6</f>
        <v>11444911000.275167</v>
      </c>
    </row>
    <row r="7" spans="1:6" s="3" customFormat="1" ht="15.6" x14ac:dyDescent="0.3">
      <c r="A7" s="5">
        <v>1</v>
      </c>
      <c r="B7" s="13" t="s">
        <v>32</v>
      </c>
      <c r="C7" s="21">
        <f>SUM(C8:C10)</f>
        <v>1081160000</v>
      </c>
      <c r="D7" s="21"/>
      <c r="E7" s="21"/>
      <c r="F7" s="20">
        <f t="shared" ref="F7:F70" si="2">C7+D7-E7</f>
        <v>1081160000</v>
      </c>
    </row>
    <row r="8" spans="1:6" ht="15.6" x14ac:dyDescent="0.25">
      <c r="A8" s="6" t="s">
        <v>33</v>
      </c>
      <c r="B8" s="9" t="s">
        <v>34</v>
      </c>
      <c r="C8" s="22">
        <f>(76009000+1701000)*12</f>
        <v>932520000</v>
      </c>
      <c r="D8" s="22"/>
      <c r="E8" s="22"/>
      <c r="F8" s="32">
        <f t="shared" si="2"/>
        <v>932520000</v>
      </c>
    </row>
    <row r="9" spans="1:6" ht="15.6" x14ac:dyDescent="0.25">
      <c r="A9" s="6" t="s">
        <v>33</v>
      </c>
      <c r="B9" s="9" t="s">
        <v>35</v>
      </c>
      <c r="C9" s="22">
        <f>720000*12</f>
        <v>8640000</v>
      </c>
      <c r="D9" s="22"/>
      <c r="E9" s="22"/>
      <c r="F9" s="32">
        <f t="shared" si="2"/>
        <v>8640000</v>
      </c>
    </row>
    <row r="10" spans="1:6" ht="15.6" x14ac:dyDescent="0.25">
      <c r="A10" s="6" t="s">
        <v>33</v>
      </c>
      <c r="B10" s="9" t="s">
        <v>36</v>
      </c>
      <c r="C10" s="22">
        <v>140000000</v>
      </c>
      <c r="D10" s="22"/>
      <c r="E10" s="22"/>
      <c r="F10" s="32">
        <f t="shared" si="2"/>
        <v>140000000</v>
      </c>
    </row>
    <row r="11" spans="1:6" s="3" customFormat="1" ht="15.6" x14ac:dyDescent="0.3">
      <c r="A11" s="5">
        <v>2</v>
      </c>
      <c r="B11" s="13" t="s">
        <v>37</v>
      </c>
      <c r="C11" s="21">
        <f>+C12</f>
        <v>30000000</v>
      </c>
      <c r="D11" s="21"/>
      <c r="E11" s="21"/>
      <c r="F11" s="20">
        <f t="shared" si="2"/>
        <v>30000000</v>
      </c>
    </row>
    <row r="12" spans="1:6" ht="15.6" x14ac:dyDescent="0.25">
      <c r="A12" s="6" t="s">
        <v>33</v>
      </c>
      <c r="B12" s="9" t="s">
        <v>38</v>
      </c>
      <c r="C12" s="22">
        <v>30000000</v>
      </c>
      <c r="D12" s="22"/>
      <c r="E12" s="22"/>
      <c r="F12" s="32">
        <f t="shared" si="2"/>
        <v>30000000</v>
      </c>
    </row>
    <row r="13" spans="1:6" s="3" customFormat="1" ht="15.6" x14ac:dyDescent="0.3">
      <c r="A13" s="5">
        <v>3</v>
      </c>
      <c r="B13" s="13" t="s">
        <v>39</v>
      </c>
      <c r="C13" s="21">
        <f>C14+C15</f>
        <v>112200000</v>
      </c>
      <c r="D13" s="21"/>
      <c r="E13" s="21"/>
      <c r="F13" s="20">
        <f t="shared" si="2"/>
        <v>112200000</v>
      </c>
    </row>
    <row r="14" spans="1:6" s="3" customFormat="1" ht="15.6" x14ac:dyDescent="0.3">
      <c r="A14" s="5"/>
      <c r="B14" s="9" t="s">
        <v>40</v>
      </c>
      <c r="C14" s="22">
        <f>0.3*1800000*15*12</f>
        <v>97200000</v>
      </c>
      <c r="D14" s="22"/>
      <c r="E14" s="22"/>
      <c r="F14" s="32">
        <f t="shared" si="2"/>
        <v>97200000</v>
      </c>
    </row>
    <row r="15" spans="1:6" ht="15.6" x14ac:dyDescent="0.25">
      <c r="A15" s="6" t="s">
        <v>33</v>
      </c>
      <c r="B15" s="9" t="s">
        <v>41</v>
      </c>
      <c r="C15" s="22">
        <v>15000000</v>
      </c>
      <c r="D15" s="22"/>
      <c r="E15" s="22"/>
      <c r="F15" s="32">
        <f t="shared" si="2"/>
        <v>15000000</v>
      </c>
    </row>
    <row r="16" spans="1:6" s="3" customFormat="1" ht="15.6" x14ac:dyDescent="0.3">
      <c r="A16" s="5">
        <v>4</v>
      </c>
      <c r="B16" s="13" t="s">
        <v>42</v>
      </c>
      <c r="C16" s="21">
        <f>C17+C20+C18+C19</f>
        <v>185000000</v>
      </c>
      <c r="D16" s="21"/>
      <c r="E16" s="21"/>
      <c r="F16" s="20">
        <f t="shared" si="2"/>
        <v>185000000</v>
      </c>
    </row>
    <row r="17" spans="1:6" ht="15.6" x14ac:dyDescent="0.25">
      <c r="A17" s="6"/>
      <c r="B17" s="9" t="s">
        <v>43</v>
      </c>
      <c r="C17" s="22">
        <v>60000000</v>
      </c>
      <c r="D17" s="22"/>
      <c r="E17" s="22"/>
      <c r="F17" s="32">
        <f t="shared" si="2"/>
        <v>60000000</v>
      </c>
    </row>
    <row r="18" spans="1:6" ht="15.6" x14ac:dyDescent="0.25">
      <c r="A18" s="5"/>
      <c r="B18" s="9" t="s">
        <v>44</v>
      </c>
      <c r="C18" s="22">
        <v>20000000</v>
      </c>
      <c r="D18" s="22"/>
      <c r="E18" s="22"/>
      <c r="F18" s="32">
        <f t="shared" si="2"/>
        <v>20000000</v>
      </c>
    </row>
    <row r="19" spans="1:6" ht="15.6" x14ac:dyDescent="0.25">
      <c r="A19" s="5"/>
      <c r="B19" s="9" t="s">
        <v>45</v>
      </c>
      <c r="C19" s="22">
        <f>15*5000000</f>
        <v>75000000</v>
      </c>
      <c r="D19" s="22"/>
      <c r="E19" s="22"/>
      <c r="F19" s="32">
        <f t="shared" si="2"/>
        <v>75000000</v>
      </c>
    </row>
    <row r="20" spans="1:6" ht="15.6" x14ac:dyDescent="0.25">
      <c r="A20" s="6"/>
      <c r="B20" s="9" t="s">
        <v>46</v>
      </c>
      <c r="C20" s="22">
        <v>30000000</v>
      </c>
      <c r="D20" s="22"/>
      <c r="E20" s="22"/>
      <c r="F20" s="32">
        <f t="shared" si="2"/>
        <v>30000000</v>
      </c>
    </row>
    <row r="21" spans="1:6" s="3" customFormat="1" ht="15.6" x14ac:dyDescent="0.3">
      <c r="A21" s="5">
        <v>5</v>
      </c>
      <c r="B21" s="13" t="s">
        <v>47</v>
      </c>
      <c r="C21" s="21">
        <v>60000000</v>
      </c>
      <c r="D21" s="21"/>
      <c r="E21" s="21"/>
      <c r="F21" s="20">
        <f t="shared" si="2"/>
        <v>60000000</v>
      </c>
    </row>
    <row r="22" spans="1:6" s="3" customFormat="1" ht="15.6" x14ac:dyDescent="0.3">
      <c r="A22" s="5">
        <v>6</v>
      </c>
      <c r="B22" s="13" t="s">
        <v>48</v>
      </c>
      <c r="C22" s="21">
        <f>SUM(C23:C26)+277000000</f>
        <v>816000000</v>
      </c>
      <c r="D22" s="21"/>
      <c r="E22" s="21"/>
      <c r="F22" s="20">
        <f t="shared" si="2"/>
        <v>816000000</v>
      </c>
    </row>
    <row r="23" spans="1:6" ht="15.6" x14ac:dyDescent="0.25">
      <c r="A23" s="6"/>
      <c r="B23" s="10" t="s">
        <v>49</v>
      </c>
      <c r="C23" s="22">
        <v>339000000</v>
      </c>
      <c r="D23" s="22"/>
      <c r="E23" s="22"/>
      <c r="F23" s="32">
        <f t="shared" si="2"/>
        <v>339000000</v>
      </c>
    </row>
    <row r="24" spans="1:6" ht="27.6" x14ac:dyDescent="0.25">
      <c r="A24" s="6"/>
      <c r="B24" s="10" t="s">
        <v>50</v>
      </c>
      <c r="C24" s="22">
        <f>15000000+20000000+60000000</f>
        <v>95000000</v>
      </c>
      <c r="D24" s="22"/>
      <c r="E24" s="22"/>
      <c r="F24" s="32">
        <f t="shared" si="2"/>
        <v>95000000</v>
      </c>
    </row>
    <row r="25" spans="1:6" ht="15.6" x14ac:dyDescent="0.25">
      <c r="A25" s="6"/>
      <c r="B25" s="10" t="s">
        <v>51</v>
      </c>
      <c r="C25" s="22">
        <v>40000000</v>
      </c>
      <c r="D25" s="22"/>
      <c r="E25" s="22"/>
      <c r="F25" s="32">
        <f t="shared" si="2"/>
        <v>40000000</v>
      </c>
    </row>
    <row r="26" spans="1:6" ht="15.6" x14ac:dyDescent="0.3">
      <c r="A26" s="5"/>
      <c r="B26" s="9" t="s">
        <v>52</v>
      </c>
      <c r="C26" s="24">
        <v>65000000</v>
      </c>
      <c r="D26" s="24"/>
      <c r="E26" s="24"/>
      <c r="F26" s="32">
        <f t="shared" si="2"/>
        <v>65000000</v>
      </c>
    </row>
    <row r="27" spans="1:6" s="3" customFormat="1" ht="15.6" x14ac:dyDescent="0.3">
      <c r="A27" s="5">
        <v>7</v>
      </c>
      <c r="B27" s="13" t="s">
        <v>53</v>
      </c>
      <c r="C27" s="21">
        <f>SUM(C28:C33)</f>
        <v>569142500.27516782</v>
      </c>
      <c r="D27" s="21"/>
      <c r="E27" s="21"/>
      <c r="F27" s="20">
        <f t="shared" si="2"/>
        <v>569142500.27516782</v>
      </c>
    </row>
    <row r="28" spans="1:6" ht="15.6" x14ac:dyDescent="0.25">
      <c r="A28" s="5" t="s">
        <v>33</v>
      </c>
      <c r="B28" s="9" t="s">
        <v>54</v>
      </c>
      <c r="C28" s="22">
        <f>2.67*1800000*12+3600000</f>
        <v>61272000</v>
      </c>
      <c r="D28" s="22"/>
      <c r="E28" s="22"/>
      <c r="F28" s="32">
        <f t="shared" si="2"/>
        <v>61272000</v>
      </c>
    </row>
    <row r="29" spans="1:6" ht="15.6" x14ac:dyDescent="0.25">
      <c r="A29" s="5" t="s">
        <v>33</v>
      </c>
      <c r="B29" s="9" t="s">
        <v>55</v>
      </c>
      <c r="C29" s="22">
        <f>2.67*1800000*12*30%</f>
        <v>17301600</v>
      </c>
      <c r="D29" s="22"/>
      <c r="E29" s="22"/>
      <c r="F29" s="32">
        <f t="shared" si="2"/>
        <v>17301600</v>
      </c>
    </row>
    <row r="30" spans="1:6" ht="15.6" x14ac:dyDescent="0.25">
      <c r="A30" s="5" t="s">
        <v>33</v>
      </c>
      <c r="B30" s="9" t="s">
        <v>56</v>
      </c>
      <c r="C30" s="22">
        <f>2.67*1490000*12*32.5%-70</f>
        <v>15515300</v>
      </c>
      <c r="D30" s="22"/>
      <c r="E30" s="22"/>
      <c r="F30" s="32">
        <f t="shared" si="2"/>
        <v>15515300</v>
      </c>
    </row>
    <row r="31" spans="1:6" ht="15.6" x14ac:dyDescent="0.25">
      <c r="A31" s="5" t="s">
        <v>33</v>
      </c>
      <c r="B31" s="9" t="s">
        <v>57</v>
      </c>
      <c r="C31" s="22">
        <f>15*12*0.5*1800000</f>
        <v>162000000</v>
      </c>
      <c r="D31" s="22"/>
      <c r="E31" s="22"/>
      <c r="F31" s="32">
        <f t="shared" si="2"/>
        <v>162000000</v>
      </c>
    </row>
    <row r="32" spans="1:6" ht="15.6" x14ac:dyDescent="0.25">
      <c r="A32" s="5" t="s">
        <v>33</v>
      </c>
      <c r="B32" s="9" t="s">
        <v>58</v>
      </c>
      <c r="C32" s="22">
        <v>185000000</v>
      </c>
      <c r="D32" s="22"/>
      <c r="E32" s="22"/>
      <c r="F32" s="32">
        <f t="shared" si="2"/>
        <v>185000000</v>
      </c>
    </row>
    <row r="33" spans="1:6" ht="15.6" x14ac:dyDescent="0.25">
      <c r="A33" s="5" t="s">
        <v>33</v>
      </c>
      <c r="B33" s="9" t="s">
        <v>59</v>
      </c>
      <c r="C33" s="22">
        <f>106000000/1490000*1800000-91</f>
        <v>128053600.27516779</v>
      </c>
      <c r="D33" s="22"/>
      <c r="E33" s="22"/>
      <c r="F33" s="32">
        <f t="shared" si="2"/>
        <v>128053600.27516779</v>
      </c>
    </row>
    <row r="34" spans="1:6" s="3" customFormat="1" ht="15.6" x14ac:dyDescent="0.3">
      <c r="A34" s="5">
        <v>8</v>
      </c>
      <c r="B34" s="13" t="s">
        <v>60</v>
      </c>
      <c r="C34" s="21">
        <f>C35+C36</f>
        <v>225000000</v>
      </c>
      <c r="D34" s="21"/>
      <c r="E34" s="21"/>
      <c r="F34" s="20">
        <f t="shared" si="2"/>
        <v>225000000</v>
      </c>
    </row>
    <row r="35" spans="1:6" ht="15.6" x14ac:dyDescent="0.25">
      <c r="A35" s="6" t="s">
        <v>33</v>
      </c>
      <c r="B35" s="9" t="s">
        <v>61</v>
      </c>
      <c r="C35" s="22">
        <f>63000000</f>
        <v>63000000</v>
      </c>
      <c r="D35" s="22"/>
      <c r="E35" s="22"/>
      <c r="F35" s="32">
        <f t="shared" si="2"/>
        <v>63000000</v>
      </c>
    </row>
    <row r="36" spans="1:6" ht="15.6" x14ac:dyDescent="0.25">
      <c r="A36" s="6" t="s">
        <v>33</v>
      </c>
      <c r="B36" s="9" t="s">
        <v>62</v>
      </c>
      <c r="C36" s="22">
        <f>0.5*12*15*1800000</f>
        <v>162000000</v>
      </c>
      <c r="D36" s="22"/>
      <c r="E36" s="22"/>
      <c r="F36" s="32">
        <f t="shared" si="2"/>
        <v>162000000</v>
      </c>
    </row>
    <row r="37" spans="1:6" s="3" customFormat="1" ht="15.6" x14ac:dyDescent="0.3">
      <c r="A37" s="5">
        <v>9</v>
      </c>
      <c r="B37" s="13" t="s">
        <v>5</v>
      </c>
      <c r="C37" s="21">
        <f>C38+C63+C70+C78+C86+C92+C98+C103+C107+C115</f>
        <v>8066408500</v>
      </c>
      <c r="D37" s="21"/>
      <c r="E37" s="21"/>
      <c r="F37" s="20">
        <f t="shared" si="2"/>
        <v>8066408500</v>
      </c>
    </row>
    <row r="38" spans="1:6" s="3" customFormat="1" ht="15.6" x14ac:dyDescent="0.3">
      <c r="A38" s="5" t="s">
        <v>63</v>
      </c>
      <c r="B38" s="13" t="s">
        <v>64</v>
      </c>
      <c r="C38" s="21">
        <f>SUM(C39:C62)</f>
        <v>5073508040</v>
      </c>
      <c r="D38" s="21"/>
      <c r="E38" s="21"/>
      <c r="F38" s="20">
        <f t="shared" si="2"/>
        <v>5073508040</v>
      </c>
    </row>
    <row r="39" spans="1:6" ht="15.6" x14ac:dyDescent="0.25">
      <c r="A39" s="6" t="s">
        <v>33</v>
      </c>
      <c r="B39" s="9" t="s">
        <v>65</v>
      </c>
      <c r="C39" s="22">
        <f>(45.6*1800000*12*90.5%)+54000000-265760</f>
        <v>945123040</v>
      </c>
      <c r="D39" s="22"/>
      <c r="E39" s="22"/>
      <c r="F39" s="32">
        <f t="shared" si="2"/>
        <v>945123040</v>
      </c>
    </row>
    <row r="40" spans="1:6" ht="15.6" x14ac:dyDescent="0.25">
      <c r="A40" s="6" t="s">
        <v>33</v>
      </c>
      <c r="B40" s="9" t="s">
        <v>66</v>
      </c>
      <c r="C40" s="22">
        <f>(45.6+0.65)*1800000*12*25%</f>
        <v>249750000</v>
      </c>
      <c r="D40" s="22"/>
      <c r="E40" s="22"/>
      <c r="F40" s="32">
        <f t="shared" si="2"/>
        <v>249750000</v>
      </c>
    </row>
    <row r="41" spans="1:6" ht="15.6" x14ac:dyDescent="0.25">
      <c r="A41" s="6" t="s">
        <v>33</v>
      </c>
      <c r="B41" s="9" t="s">
        <v>67</v>
      </c>
      <c r="C41" s="22">
        <f>(45.6+0.65)*1800000*12*32.5%</f>
        <v>324675000</v>
      </c>
      <c r="D41" s="22"/>
      <c r="E41" s="22"/>
      <c r="F41" s="32">
        <f t="shared" si="2"/>
        <v>324675000</v>
      </c>
    </row>
    <row r="42" spans="1:6" ht="15.6" x14ac:dyDescent="0.25">
      <c r="A42" s="6" t="s">
        <v>33</v>
      </c>
      <c r="B42" s="9" t="s">
        <v>68</v>
      </c>
      <c r="C42" s="22">
        <f>0.2*1800000*12</f>
        <v>4320000</v>
      </c>
      <c r="D42" s="22"/>
      <c r="E42" s="22"/>
      <c r="F42" s="32">
        <f t="shared" si="2"/>
        <v>4320000</v>
      </c>
    </row>
    <row r="43" spans="1:6" ht="15.6" x14ac:dyDescent="0.25">
      <c r="A43" s="6" t="s">
        <v>33</v>
      </c>
      <c r="B43" s="9" t="s">
        <v>69</v>
      </c>
      <c r="C43" s="22">
        <f>(22.5*12*1800000)+(12*10000000)</f>
        <v>606000000</v>
      </c>
      <c r="D43" s="22"/>
      <c r="E43" s="22"/>
      <c r="F43" s="32">
        <f t="shared" si="2"/>
        <v>606000000</v>
      </c>
    </row>
    <row r="44" spans="1:6" ht="15.6" x14ac:dyDescent="0.25">
      <c r="A44" s="6" t="s">
        <v>33</v>
      </c>
      <c r="B44" s="9" t="s">
        <v>70</v>
      </c>
      <c r="C44" s="22">
        <f>6000000*12</f>
        <v>72000000</v>
      </c>
      <c r="D44" s="22"/>
      <c r="E44" s="22"/>
      <c r="F44" s="32">
        <f t="shared" si="2"/>
        <v>72000000</v>
      </c>
    </row>
    <row r="45" spans="1:6" ht="15.6" x14ac:dyDescent="0.25">
      <c r="A45" s="6" t="s">
        <v>33</v>
      </c>
      <c r="B45" s="9" t="s">
        <v>71</v>
      </c>
      <c r="C45" s="22">
        <f>1.8*1800000*12*15</f>
        <v>583200000</v>
      </c>
      <c r="D45" s="22"/>
      <c r="E45" s="22"/>
      <c r="F45" s="32">
        <f t="shared" si="2"/>
        <v>583200000</v>
      </c>
    </row>
    <row r="46" spans="1:6" ht="27.6" x14ac:dyDescent="0.25">
      <c r="A46" s="6" t="s">
        <v>33</v>
      </c>
      <c r="B46" s="10" t="s">
        <v>72</v>
      </c>
      <c r="C46" s="22">
        <f>2.4*1800000*15*12</f>
        <v>777600000</v>
      </c>
      <c r="D46" s="22"/>
      <c r="E46" s="22"/>
      <c r="F46" s="32">
        <f t="shared" si="2"/>
        <v>777600000</v>
      </c>
    </row>
    <row r="47" spans="1:6" ht="15.6" x14ac:dyDescent="0.25">
      <c r="A47" s="6" t="s">
        <v>33</v>
      </c>
      <c r="B47" s="9" t="s">
        <v>73</v>
      </c>
      <c r="C47" s="22">
        <f>6*12*500000</f>
        <v>36000000</v>
      </c>
      <c r="D47" s="22"/>
      <c r="E47" s="22"/>
      <c r="F47" s="32">
        <f t="shared" si="2"/>
        <v>36000000</v>
      </c>
    </row>
    <row r="48" spans="1:6" ht="15.6" x14ac:dyDescent="0.25">
      <c r="A48" s="25" t="s">
        <v>33</v>
      </c>
      <c r="B48" s="9" t="s">
        <v>74</v>
      </c>
      <c r="C48" s="22">
        <f>0.2*2*12*1800000</f>
        <v>8640000.0000000019</v>
      </c>
      <c r="D48" s="22"/>
      <c r="E48" s="22"/>
      <c r="F48" s="32">
        <f t="shared" si="2"/>
        <v>8640000.0000000019</v>
      </c>
    </row>
    <row r="49" spans="1:6" ht="15.6" x14ac:dyDescent="0.25">
      <c r="A49" s="6" t="s">
        <v>33</v>
      </c>
      <c r="B49" s="9" t="s">
        <v>75</v>
      </c>
      <c r="C49" s="22">
        <v>12000000</v>
      </c>
      <c r="D49" s="22"/>
      <c r="E49" s="22"/>
      <c r="F49" s="32">
        <f t="shared" si="2"/>
        <v>12000000</v>
      </c>
    </row>
    <row r="50" spans="1:6" ht="15.6" x14ac:dyDescent="0.25">
      <c r="A50" s="6"/>
      <c r="B50" s="9" t="s">
        <v>76</v>
      </c>
      <c r="C50" s="22">
        <f>15*3250000*12*32%</f>
        <v>187200000</v>
      </c>
      <c r="D50" s="22"/>
      <c r="E50" s="22"/>
      <c r="F50" s="32">
        <f t="shared" si="2"/>
        <v>187200000</v>
      </c>
    </row>
    <row r="51" spans="1:6" s="27" customFormat="1" ht="15.6" x14ac:dyDescent="0.3">
      <c r="A51" s="26"/>
      <c r="B51" s="8" t="s">
        <v>77</v>
      </c>
      <c r="C51" s="24">
        <f>9000000*12</f>
        <v>108000000</v>
      </c>
      <c r="D51" s="24"/>
      <c r="E51" s="24"/>
      <c r="F51" s="32">
        <f t="shared" si="2"/>
        <v>108000000</v>
      </c>
    </row>
    <row r="52" spans="1:6" ht="15.6" x14ac:dyDescent="0.25">
      <c r="A52" s="6" t="s">
        <v>33</v>
      </c>
      <c r="B52" s="9" t="s">
        <v>78</v>
      </c>
      <c r="C52" s="22">
        <v>18000000</v>
      </c>
      <c r="D52" s="22"/>
      <c r="E52" s="22"/>
      <c r="F52" s="32">
        <f t="shared" si="2"/>
        <v>18000000</v>
      </c>
    </row>
    <row r="53" spans="1:6" ht="15.6" x14ac:dyDescent="0.3">
      <c r="A53" s="6" t="s">
        <v>33</v>
      </c>
      <c r="B53" s="9" t="s">
        <v>79</v>
      </c>
      <c r="C53" s="24">
        <v>110000000</v>
      </c>
      <c r="D53" s="24"/>
      <c r="E53" s="24"/>
      <c r="F53" s="32">
        <f t="shared" si="2"/>
        <v>110000000</v>
      </c>
    </row>
    <row r="54" spans="1:6" ht="15.6" x14ac:dyDescent="0.25">
      <c r="A54" s="6" t="s">
        <v>33</v>
      </c>
      <c r="B54" s="9" t="s">
        <v>80</v>
      </c>
      <c r="C54" s="22">
        <v>50000000</v>
      </c>
      <c r="D54" s="22"/>
      <c r="E54" s="22"/>
      <c r="F54" s="32">
        <f t="shared" si="2"/>
        <v>50000000</v>
      </c>
    </row>
    <row r="55" spans="1:6" ht="15.6" x14ac:dyDescent="0.25">
      <c r="A55" s="6" t="s">
        <v>33</v>
      </c>
      <c r="B55" s="9" t="s">
        <v>81</v>
      </c>
      <c r="C55" s="22">
        <v>10000000</v>
      </c>
      <c r="D55" s="22"/>
      <c r="E55" s="22"/>
      <c r="F55" s="32">
        <f t="shared" si="2"/>
        <v>10000000</v>
      </c>
    </row>
    <row r="56" spans="1:6" s="27" customFormat="1" ht="15.6" x14ac:dyDescent="0.3">
      <c r="A56" s="26" t="s">
        <v>33</v>
      </c>
      <c r="B56" s="8" t="s">
        <v>82</v>
      </c>
      <c r="C56" s="24">
        <v>44000000</v>
      </c>
      <c r="D56" s="24"/>
      <c r="E56" s="24"/>
      <c r="F56" s="32">
        <f t="shared" si="2"/>
        <v>44000000</v>
      </c>
    </row>
    <row r="57" spans="1:6" ht="15.6" x14ac:dyDescent="0.25">
      <c r="A57" s="6" t="s">
        <v>33</v>
      </c>
      <c r="B57" s="9" t="s">
        <v>83</v>
      </c>
      <c r="C57" s="22">
        <v>30000000</v>
      </c>
      <c r="D57" s="22"/>
      <c r="E57" s="22"/>
      <c r="F57" s="32">
        <f t="shared" si="2"/>
        <v>30000000</v>
      </c>
    </row>
    <row r="58" spans="1:6" ht="15.6" x14ac:dyDescent="0.25">
      <c r="A58" s="6" t="s">
        <v>33</v>
      </c>
      <c r="B58" s="9" t="s">
        <v>84</v>
      </c>
      <c r="C58" s="22">
        <v>200000000</v>
      </c>
      <c r="D58" s="22"/>
      <c r="E58" s="22"/>
      <c r="F58" s="32">
        <f t="shared" si="2"/>
        <v>200000000</v>
      </c>
    </row>
    <row r="59" spans="1:6" ht="15.6" x14ac:dyDescent="0.25">
      <c r="A59" s="6"/>
      <c r="B59" s="9" t="s">
        <v>85</v>
      </c>
      <c r="C59" s="22">
        <v>9000000</v>
      </c>
      <c r="D59" s="22"/>
      <c r="E59" s="22"/>
      <c r="F59" s="32">
        <f t="shared" si="2"/>
        <v>9000000</v>
      </c>
    </row>
    <row r="60" spans="1:6" ht="15.6" x14ac:dyDescent="0.25">
      <c r="A60" s="6"/>
      <c r="B60" s="9" t="s">
        <v>86</v>
      </c>
      <c r="C60" s="22">
        <v>25000000</v>
      </c>
      <c r="D60" s="22"/>
      <c r="E60" s="22"/>
      <c r="F60" s="32">
        <f t="shared" si="2"/>
        <v>25000000</v>
      </c>
    </row>
    <row r="61" spans="1:6" ht="15.6" x14ac:dyDescent="0.25">
      <c r="A61" s="6" t="s">
        <v>33</v>
      </c>
      <c r="B61" s="9" t="s">
        <v>87</v>
      </c>
      <c r="C61" s="22">
        <f>290000000-127000000</f>
        <v>163000000</v>
      </c>
      <c r="D61" s="22"/>
      <c r="E61" s="22"/>
      <c r="F61" s="32">
        <f t="shared" si="2"/>
        <v>163000000</v>
      </c>
    </row>
    <row r="62" spans="1:6" ht="15.6" x14ac:dyDescent="0.25">
      <c r="A62" s="6" t="s">
        <v>33</v>
      </c>
      <c r="B62" s="9" t="s">
        <v>88</v>
      </c>
      <c r="C62" s="22">
        <f>650000000-150000000</f>
        <v>500000000</v>
      </c>
      <c r="D62" s="22"/>
      <c r="E62" s="22"/>
      <c r="F62" s="32">
        <f t="shared" si="2"/>
        <v>500000000</v>
      </c>
    </row>
    <row r="63" spans="1:6" s="3" customFormat="1" ht="15.6" x14ac:dyDescent="0.3">
      <c r="A63" s="5" t="s">
        <v>89</v>
      </c>
      <c r="B63" s="13" t="s">
        <v>90</v>
      </c>
      <c r="C63" s="21">
        <f>SUM(C64:C69)</f>
        <v>566004400</v>
      </c>
      <c r="D63" s="21"/>
      <c r="E63" s="21"/>
      <c r="F63" s="20">
        <f t="shared" si="2"/>
        <v>566004400</v>
      </c>
    </row>
    <row r="64" spans="1:6" ht="15.6" x14ac:dyDescent="0.25">
      <c r="A64" s="6" t="s">
        <v>33</v>
      </c>
      <c r="B64" s="9" t="s">
        <v>54</v>
      </c>
      <c r="C64" s="22">
        <f>(7.11*1800000*12*90.5%)+12000000-80</f>
        <v>150986200</v>
      </c>
      <c r="D64" s="22"/>
      <c r="E64" s="22"/>
      <c r="F64" s="32">
        <f t="shared" si="2"/>
        <v>150986200</v>
      </c>
    </row>
    <row r="65" spans="1:6" ht="15.6" x14ac:dyDescent="0.25">
      <c r="A65" s="6" t="s">
        <v>33</v>
      </c>
      <c r="B65" s="9" t="s">
        <v>91</v>
      </c>
      <c r="C65" s="22">
        <f>7.11*1800000*12*25%</f>
        <v>38394000</v>
      </c>
      <c r="D65" s="22"/>
      <c r="E65" s="22"/>
      <c r="F65" s="32">
        <f t="shared" si="2"/>
        <v>38394000</v>
      </c>
    </row>
    <row r="66" spans="1:6" ht="15.6" x14ac:dyDescent="0.25">
      <c r="A66" s="6" t="s">
        <v>33</v>
      </c>
      <c r="B66" s="9" t="s">
        <v>92</v>
      </c>
      <c r="C66" s="22">
        <f>(7.11*1800000*12*32.5%)+(486000*12)</f>
        <v>55744200</v>
      </c>
      <c r="D66" s="22"/>
      <c r="E66" s="22"/>
      <c r="F66" s="32">
        <f t="shared" si="2"/>
        <v>55744200</v>
      </c>
    </row>
    <row r="67" spans="1:6" ht="15.6" x14ac:dyDescent="0.25">
      <c r="A67" s="6" t="s">
        <v>33</v>
      </c>
      <c r="B67" s="9" t="s">
        <v>93</v>
      </c>
      <c r="C67" s="22">
        <f>0.9*1800000*12</f>
        <v>19440000</v>
      </c>
      <c r="D67" s="22"/>
      <c r="E67" s="22"/>
      <c r="F67" s="32">
        <f t="shared" si="2"/>
        <v>19440000</v>
      </c>
    </row>
    <row r="68" spans="1:6" ht="15.6" x14ac:dyDescent="0.25">
      <c r="A68" s="5" t="s">
        <v>33</v>
      </c>
      <c r="B68" s="9" t="s">
        <v>94</v>
      </c>
      <c r="C68" s="22">
        <f>15120000*12</f>
        <v>181440000</v>
      </c>
      <c r="D68" s="22"/>
      <c r="E68" s="22"/>
      <c r="F68" s="32">
        <f t="shared" si="2"/>
        <v>181440000</v>
      </c>
    </row>
    <row r="69" spans="1:6" ht="15.6" x14ac:dyDescent="0.25">
      <c r="A69" s="5" t="s">
        <v>33</v>
      </c>
      <c r="B69" s="9" t="s">
        <v>38</v>
      </c>
      <c r="C69" s="22">
        <f>120000000</f>
        <v>120000000</v>
      </c>
      <c r="D69" s="22"/>
      <c r="E69" s="22"/>
      <c r="F69" s="32">
        <f t="shared" si="2"/>
        <v>120000000</v>
      </c>
    </row>
    <row r="70" spans="1:6" s="3" customFormat="1" ht="15.6" x14ac:dyDescent="0.3">
      <c r="A70" s="5" t="s">
        <v>95</v>
      </c>
      <c r="B70" s="13" t="s">
        <v>96</v>
      </c>
      <c r="C70" s="21">
        <f>SUM(C71:C77)</f>
        <v>1328457560</v>
      </c>
      <c r="D70" s="21"/>
      <c r="E70" s="21"/>
      <c r="F70" s="20">
        <f t="shared" si="2"/>
        <v>1328457560</v>
      </c>
    </row>
    <row r="71" spans="1:6" ht="15.6" x14ac:dyDescent="0.25">
      <c r="A71" s="6" t="s">
        <v>33</v>
      </c>
      <c r="B71" s="9" t="s">
        <v>54</v>
      </c>
      <c r="C71" s="22">
        <f>2.92*1800000*12*90.5%+12000000+60000000</f>
        <v>129080160</v>
      </c>
      <c r="D71" s="22"/>
      <c r="E71" s="22"/>
      <c r="F71" s="32">
        <f t="shared" ref="F71:F134" si="3">C71+D71-E71</f>
        <v>129080160</v>
      </c>
    </row>
    <row r="72" spans="1:6" ht="15.6" x14ac:dyDescent="0.25">
      <c r="A72" s="6" t="s">
        <v>33</v>
      </c>
      <c r="B72" s="9" t="s">
        <v>91</v>
      </c>
      <c r="C72" s="22">
        <f>2.92*1800000*12*25%</f>
        <v>15768000</v>
      </c>
      <c r="D72" s="22"/>
      <c r="E72" s="22"/>
      <c r="F72" s="32">
        <f t="shared" si="3"/>
        <v>15768000</v>
      </c>
    </row>
    <row r="73" spans="1:6" ht="15.6" x14ac:dyDescent="0.25">
      <c r="A73" s="6" t="s">
        <v>33</v>
      </c>
      <c r="B73" s="9" t="s">
        <v>92</v>
      </c>
      <c r="C73" s="22">
        <f>2.92*1800000*12*32.5%</f>
        <v>20498400</v>
      </c>
      <c r="D73" s="22"/>
      <c r="E73" s="22"/>
      <c r="F73" s="32">
        <f t="shared" si="3"/>
        <v>20498400</v>
      </c>
    </row>
    <row r="74" spans="1:6" ht="15.6" x14ac:dyDescent="0.25">
      <c r="A74" s="5" t="s">
        <v>33</v>
      </c>
      <c r="B74" s="9" t="s">
        <v>97</v>
      </c>
      <c r="C74" s="22">
        <f>7560000*12</f>
        <v>90720000</v>
      </c>
      <c r="D74" s="22"/>
      <c r="E74" s="22"/>
      <c r="F74" s="32">
        <f t="shared" si="3"/>
        <v>90720000</v>
      </c>
    </row>
    <row r="75" spans="1:6" ht="15.6" x14ac:dyDescent="0.25">
      <c r="A75" s="5" t="s">
        <v>33</v>
      </c>
      <c r="B75" s="9" t="s">
        <v>98</v>
      </c>
      <c r="C75" s="22">
        <v>17880000</v>
      </c>
      <c r="D75" s="22"/>
      <c r="E75" s="22"/>
      <c r="F75" s="32">
        <f t="shared" si="3"/>
        <v>17880000</v>
      </c>
    </row>
    <row r="76" spans="1:6" ht="15.6" x14ac:dyDescent="0.25">
      <c r="A76" s="5"/>
      <c r="B76" s="9" t="s">
        <v>99</v>
      </c>
      <c r="C76" s="22">
        <f>2.7*1800000*12*15</f>
        <v>874800000</v>
      </c>
      <c r="D76" s="22"/>
      <c r="E76" s="22"/>
      <c r="F76" s="32">
        <f t="shared" si="3"/>
        <v>874800000</v>
      </c>
    </row>
    <row r="77" spans="1:6" ht="15.6" x14ac:dyDescent="0.25">
      <c r="A77" s="5" t="s">
        <v>33</v>
      </c>
      <c r="B77" s="9" t="s">
        <v>38</v>
      </c>
      <c r="C77" s="22">
        <f>(1139*149000)+10000000</f>
        <v>179711000</v>
      </c>
      <c r="D77" s="22"/>
      <c r="E77" s="22"/>
      <c r="F77" s="32">
        <f t="shared" si="3"/>
        <v>179711000</v>
      </c>
    </row>
    <row r="78" spans="1:6" s="3" customFormat="1" ht="15.6" x14ac:dyDescent="0.3">
      <c r="A78" s="5" t="s">
        <v>100</v>
      </c>
      <c r="B78" s="13" t="s">
        <v>101</v>
      </c>
      <c r="C78" s="21">
        <f>SUM(C79:C85)</f>
        <v>296445900</v>
      </c>
      <c r="D78" s="21"/>
      <c r="E78" s="21"/>
      <c r="F78" s="20">
        <f t="shared" si="3"/>
        <v>296445900</v>
      </c>
    </row>
    <row r="79" spans="1:6" ht="15.6" x14ac:dyDescent="0.25">
      <c r="A79" s="6" t="s">
        <v>33</v>
      </c>
      <c r="B79" s="9" t="s">
        <v>54</v>
      </c>
      <c r="C79" s="22">
        <f>4.19*1800000*12*90.5%+6000000-20</f>
        <v>87906100.000000015</v>
      </c>
      <c r="D79" s="22"/>
      <c r="E79" s="22"/>
      <c r="F79" s="32">
        <f t="shared" si="3"/>
        <v>87906100.000000015</v>
      </c>
    </row>
    <row r="80" spans="1:6" ht="15.6" x14ac:dyDescent="0.25">
      <c r="A80" s="6" t="s">
        <v>33</v>
      </c>
      <c r="B80" s="9" t="s">
        <v>91</v>
      </c>
      <c r="C80" s="22">
        <f>4.19*1800000*12*25%</f>
        <v>22626000.000000004</v>
      </c>
      <c r="D80" s="22"/>
      <c r="E80" s="22"/>
      <c r="F80" s="32">
        <f t="shared" si="3"/>
        <v>22626000.000000004</v>
      </c>
    </row>
    <row r="81" spans="1:6" ht="15.6" x14ac:dyDescent="0.25">
      <c r="A81" s="6" t="s">
        <v>33</v>
      </c>
      <c r="B81" s="9" t="s">
        <v>92</v>
      </c>
      <c r="C81" s="22">
        <f>4.19*1800000*12*32.5%</f>
        <v>29413800.000000007</v>
      </c>
      <c r="D81" s="22"/>
      <c r="E81" s="22"/>
      <c r="F81" s="32">
        <f t="shared" si="3"/>
        <v>29413800.000000007</v>
      </c>
    </row>
    <row r="82" spans="1:6" ht="15.6" x14ac:dyDescent="0.25">
      <c r="A82" s="5" t="s">
        <v>33</v>
      </c>
      <c r="B82" s="9" t="s">
        <v>102</v>
      </c>
      <c r="C82" s="22">
        <f>40000000+1500000</f>
        <v>41500000</v>
      </c>
      <c r="D82" s="22"/>
      <c r="E82" s="22"/>
      <c r="F82" s="32">
        <f t="shared" si="3"/>
        <v>41500000</v>
      </c>
    </row>
    <row r="83" spans="1:6" ht="15.6" x14ac:dyDescent="0.25">
      <c r="A83" s="5"/>
      <c r="B83" s="9" t="s">
        <v>103</v>
      </c>
      <c r="C83" s="22">
        <v>95000000</v>
      </c>
      <c r="D83" s="22"/>
      <c r="E83" s="22"/>
      <c r="F83" s="32">
        <f t="shared" si="3"/>
        <v>95000000</v>
      </c>
    </row>
    <row r="84" spans="1:6" ht="15.6" x14ac:dyDescent="0.25">
      <c r="A84" s="5" t="s">
        <v>33</v>
      </c>
      <c r="B84" s="9" t="s">
        <v>104</v>
      </c>
      <c r="C84" s="22">
        <v>5000000</v>
      </c>
      <c r="D84" s="22"/>
      <c r="E84" s="22"/>
      <c r="F84" s="32">
        <f t="shared" si="3"/>
        <v>5000000</v>
      </c>
    </row>
    <row r="85" spans="1:6" ht="15.6" x14ac:dyDescent="0.25">
      <c r="A85" s="5" t="s">
        <v>33</v>
      </c>
      <c r="B85" s="9" t="s">
        <v>105</v>
      </c>
      <c r="C85" s="22">
        <v>15000000</v>
      </c>
      <c r="D85" s="22"/>
      <c r="E85" s="22"/>
      <c r="F85" s="32">
        <f t="shared" si="3"/>
        <v>15000000</v>
      </c>
    </row>
    <row r="86" spans="1:6" s="3" customFormat="1" ht="15.6" x14ac:dyDescent="0.3">
      <c r="A86" s="5" t="s">
        <v>106</v>
      </c>
      <c r="B86" s="13" t="s">
        <v>107</v>
      </c>
      <c r="C86" s="21">
        <f>SUM(C87:C91)</f>
        <v>155799200</v>
      </c>
      <c r="D86" s="21"/>
      <c r="E86" s="21"/>
      <c r="F86" s="20">
        <f t="shared" si="3"/>
        <v>155799200</v>
      </c>
    </row>
    <row r="87" spans="1:6" ht="15.6" x14ac:dyDescent="0.25">
      <c r="A87" s="6" t="s">
        <v>33</v>
      </c>
      <c r="B87" s="9" t="s">
        <v>54</v>
      </c>
      <c r="C87" s="22">
        <f>3.15*1800000*12*90.5%+3600000</f>
        <v>65176200</v>
      </c>
      <c r="D87" s="22"/>
      <c r="E87" s="22"/>
      <c r="F87" s="32">
        <f t="shared" si="3"/>
        <v>65176200</v>
      </c>
    </row>
    <row r="88" spans="1:6" ht="15.6" x14ac:dyDescent="0.25">
      <c r="A88" s="6" t="s">
        <v>33</v>
      </c>
      <c r="B88" s="9" t="s">
        <v>91</v>
      </c>
      <c r="C88" s="22">
        <f>3.15*1800000*12*25%</f>
        <v>17010000</v>
      </c>
      <c r="D88" s="22"/>
      <c r="E88" s="22"/>
      <c r="F88" s="32">
        <f t="shared" si="3"/>
        <v>17010000</v>
      </c>
    </row>
    <row r="89" spans="1:6" ht="15.6" x14ac:dyDescent="0.25">
      <c r="A89" s="6" t="s">
        <v>33</v>
      </c>
      <c r="B89" s="9" t="s">
        <v>92</v>
      </c>
      <c r="C89" s="22">
        <f>3.15*1800000*12*32.5%</f>
        <v>22113000</v>
      </c>
      <c r="D89" s="22"/>
      <c r="E89" s="22"/>
      <c r="F89" s="32">
        <f t="shared" si="3"/>
        <v>22113000</v>
      </c>
    </row>
    <row r="90" spans="1:6" ht="15.6" x14ac:dyDescent="0.25">
      <c r="A90" s="5" t="s">
        <v>33</v>
      </c>
      <c r="B90" s="9" t="s">
        <v>108</v>
      </c>
      <c r="C90" s="22">
        <v>31500000</v>
      </c>
      <c r="D90" s="22"/>
      <c r="E90" s="22"/>
      <c r="F90" s="32">
        <f t="shared" si="3"/>
        <v>31500000</v>
      </c>
    </row>
    <row r="91" spans="1:6" ht="15.6" x14ac:dyDescent="0.25">
      <c r="A91" s="5" t="s">
        <v>33</v>
      </c>
      <c r="B91" s="9" t="s">
        <v>109</v>
      </c>
      <c r="C91" s="22">
        <v>20000000</v>
      </c>
      <c r="D91" s="22"/>
      <c r="E91" s="22"/>
      <c r="F91" s="32">
        <f t="shared" si="3"/>
        <v>20000000</v>
      </c>
    </row>
    <row r="92" spans="1:6" s="3" customFormat="1" ht="15.6" x14ac:dyDescent="0.3">
      <c r="A92" s="5" t="s">
        <v>110</v>
      </c>
      <c r="B92" s="13" t="s">
        <v>111</v>
      </c>
      <c r="C92" s="21">
        <f>SUM(C93:C97)</f>
        <v>146299200</v>
      </c>
      <c r="D92" s="21"/>
      <c r="E92" s="21"/>
      <c r="F92" s="20">
        <f t="shared" si="3"/>
        <v>146299200</v>
      </c>
    </row>
    <row r="93" spans="1:6" ht="15.6" x14ac:dyDescent="0.25">
      <c r="A93" s="6" t="s">
        <v>33</v>
      </c>
      <c r="B93" s="9" t="s">
        <v>54</v>
      </c>
      <c r="C93" s="22">
        <f>3.15*1800000*12*90.5%+3600000</f>
        <v>65176200</v>
      </c>
      <c r="D93" s="22"/>
      <c r="E93" s="22"/>
      <c r="F93" s="32">
        <f t="shared" si="3"/>
        <v>65176200</v>
      </c>
    </row>
    <row r="94" spans="1:6" ht="15.6" x14ac:dyDescent="0.25">
      <c r="A94" s="6" t="s">
        <v>33</v>
      </c>
      <c r="B94" s="9" t="s">
        <v>91</v>
      </c>
      <c r="C94" s="22">
        <f>3.15*1800000*12*25%</f>
        <v>17010000</v>
      </c>
      <c r="D94" s="22"/>
      <c r="E94" s="22"/>
      <c r="F94" s="32">
        <f t="shared" si="3"/>
        <v>17010000</v>
      </c>
    </row>
    <row r="95" spans="1:6" ht="15.6" x14ac:dyDescent="0.25">
      <c r="A95" s="6" t="s">
        <v>33</v>
      </c>
      <c r="B95" s="9" t="s">
        <v>92</v>
      </c>
      <c r="C95" s="22">
        <f>3.15*1800000*12*32.5%</f>
        <v>22113000</v>
      </c>
      <c r="D95" s="22"/>
      <c r="E95" s="22"/>
      <c r="F95" s="32">
        <f t="shared" si="3"/>
        <v>22113000</v>
      </c>
    </row>
    <row r="96" spans="1:6" ht="15.6" x14ac:dyDescent="0.25">
      <c r="A96" s="5" t="s">
        <v>33</v>
      </c>
      <c r="B96" s="9" t="s">
        <v>38</v>
      </c>
      <c r="C96" s="22">
        <v>34000000</v>
      </c>
      <c r="D96" s="22"/>
      <c r="E96" s="22"/>
      <c r="F96" s="32">
        <f t="shared" si="3"/>
        <v>34000000</v>
      </c>
    </row>
    <row r="97" spans="1:6" ht="15.6" x14ac:dyDescent="0.25">
      <c r="A97" s="5" t="s">
        <v>33</v>
      </c>
      <c r="B97" s="9" t="s">
        <v>112</v>
      </c>
      <c r="C97" s="22">
        <v>8000000</v>
      </c>
      <c r="D97" s="22"/>
      <c r="E97" s="22"/>
      <c r="F97" s="32">
        <f t="shared" si="3"/>
        <v>8000000</v>
      </c>
    </row>
    <row r="98" spans="1:6" s="3" customFormat="1" ht="15.6" x14ac:dyDescent="0.3">
      <c r="A98" s="5" t="s">
        <v>113</v>
      </c>
      <c r="B98" s="13" t="s">
        <v>114</v>
      </c>
      <c r="C98" s="21">
        <f>SUM(C99:C102)</f>
        <v>135799200</v>
      </c>
      <c r="D98" s="21"/>
      <c r="E98" s="21"/>
      <c r="F98" s="20">
        <f t="shared" si="3"/>
        <v>135799200</v>
      </c>
    </row>
    <row r="99" spans="1:6" ht="15.6" x14ac:dyDescent="0.25">
      <c r="A99" s="5" t="s">
        <v>33</v>
      </c>
      <c r="B99" s="9" t="s">
        <v>54</v>
      </c>
      <c r="C99" s="22">
        <f>(3.15*1800000*12*90.5%)+3600000</f>
        <v>65176200</v>
      </c>
      <c r="D99" s="22"/>
      <c r="E99" s="22"/>
      <c r="F99" s="32">
        <f t="shared" si="3"/>
        <v>65176200</v>
      </c>
    </row>
    <row r="100" spans="1:6" ht="15.6" x14ac:dyDescent="0.25">
      <c r="A100" s="5" t="s">
        <v>33</v>
      </c>
      <c r="B100" s="9" t="s">
        <v>91</v>
      </c>
      <c r="C100" s="22">
        <f>3.15*1800000*12*25%</f>
        <v>17010000</v>
      </c>
      <c r="D100" s="22"/>
      <c r="E100" s="22"/>
      <c r="F100" s="32">
        <f t="shared" si="3"/>
        <v>17010000</v>
      </c>
    </row>
    <row r="101" spans="1:6" ht="15.6" x14ac:dyDescent="0.25">
      <c r="A101" s="5" t="s">
        <v>33</v>
      </c>
      <c r="B101" s="9" t="s">
        <v>92</v>
      </c>
      <c r="C101" s="22">
        <f>C95</f>
        <v>22113000</v>
      </c>
      <c r="D101" s="22"/>
      <c r="E101" s="22"/>
      <c r="F101" s="32">
        <f t="shared" si="3"/>
        <v>22113000</v>
      </c>
    </row>
    <row r="102" spans="1:6" ht="15.6" x14ac:dyDescent="0.25">
      <c r="A102" s="5" t="s">
        <v>33</v>
      </c>
      <c r="B102" s="9" t="s">
        <v>61</v>
      </c>
      <c r="C102" s="22">
        <f>31500000</f>
        <v>31500000</v>
      </c>
      <c r="D102" s="22"/>
      <c r="E102" s="22"/>
      <c r="F102" s="32">
        <f t="shared" si="3"/>
        <v>31500000</v>
      </c>
    </row>
    <row r="103" spans="1:6" s="3" customFormat="1" ht="15.6" x14ac:dyDescent="0.3">
      <c r="A103" s="5" t="s">
        <v>115</v>
      </c>
      <c r="B103" s="13" t="s">
        <v>116</v>
      </c>
      <c r="C103" s="21">
        <f>SUM(C104:C106)</f>
        <v>140472000</v>
      </c>
      <c r="D103" s="21"/>
      <c r="E103" s="21"/>
      <c r="F103" s="20">
        <f t="shared" si="3"/>
        <v>140472000</v>
      </c>
    </row>
    <row r="104" spans="1:6" ht="15.6" x14ac:dyDescent="0.25">
      <c r="A104" s="5" t="s">
        <v>33</v>
      </c>
      <c r="B104" s="9" t="s">
        <v>117</v>
      </c>
      <c r="C104" s="22">
        <f>(4*1800000*12*100%)+(81000*12)</f>
        <v>87372000</v>
      </c>
      <c r="D104" s="22"/>
      <c r="E104" s="22"/>
      <c r="F104" s="32">
        <f t="shared" si="3"/>
        <v>87372000</v>
      </c>
    </row>
    <row r="105" spans="1:6" ht="15.6" x14ac:dyDescent="0.25">
      <c r="A105" s="5" t="s">
        <v>33</v>
      </c>
      <c r="B105" s="9" t="s">
        <v>91</v>
      </c>
      <c r="C105" s="22">
        <f>4*1800000*12*25%</f>
        <v>21600000</v>
      </c>
      <c r="D105" s="22"/>
      <c r="E105" s="22"/>
      <c r="F105" s="32">
        <f t="shared" si="3"/>
        <v>21600000</v>
      </c>
    </row>
    <row r="106" spans="1:6" ht="15.6" x14ac:dyDescent="0.25">
      <c r="A106" s="5" t="s">
        <v>33</v>
      </c>
      <c r="B106" s="9" t="s">
        <v>61</v>
      </c>
      <c r="C106" s="22">
        <v>31500000</v>
      </c>
      <c r="D106" s="22"/>
      <c r="E106" s="22"/>
      <c r="F106" s="32">
        <f t="shared" si="3"/>
        <v>31500000</v>
      </c>
    </row>
    <row r="107" spans="1:6" ht="15.6" x14ac:dyDescent="0.25">
      <c r="A107" s="5" t="s">
        <v>118</v>
      </c>
      <c r="B107" s="28" t="s">
        <v>119</v>
      </c>
      <c r="C107" s="21">
        <f>SUM(C108:C114)</f>
        <v>144000000</v>
      </c>
      <c r="D107" s="21"/>
      <c r="E107" s="21"/>
      <c r="F107" s="20">
        <f t="shared" si="3"/>
        <v>144000000</v>
      </c>
    </row>
    <row r="108" spans="1:6" ht="15.6" x14ac:dyDescent="0.25">
      <c r="A108" s="5" t="s">
        <v>33</v>
      </c>
      <c r="B108" s="9" t="s">
        <v>120</v>
      </c>
      <c r="C108" s="22">
        <v>7000000</v>
      </c>
      <c r="D108" s="22"/>
      <c r="E108" s="22"/>
      <c r="F108" s="32">
        <f t="shared" si="3"/>
        <v>7000000</v>
      </c>
    </row>
    <row r="109" spans="1:6" ht="15.6" x14ac:dyDescent="0.25">
      <c r="A109" s="5" t="s">
        <v>33</v>
      </c>
      <c r="B109" s="9" t="s">
        <v>121</v>
      </c>
      <c r="C109" s="22">
        <v>7000000</v>
      </c>
      <c r="D109" s="22"/>
      <c r="E109" s="22"/>
      <c r="F109" s="32">
        <f t="shared" si="3"/>
        <v>7000000</v>
      </c>
    </row>
    <row r="110" spans="1:6" ht="15.6" x14ac:dyDescent="0.25">
      <c r="A110" s="5" t="s">
        <v>33</v>
      </c>
      <c r="B110" s="9" t="s">
        <v>122</v>
      </c>
      <c r="C110" s="22">
        <v>18000000</v>
      </c>
      <c r="D110" s="22"/>
      <c r="E110" s="22"/>
      <c r="F110" s="32">
        <f t="shared" si="3"/>
        <v>18000000</v>
      </c>
    </row>
    <row r="111" spans="1:6" ht="15.6" x14ac:dyDescent="0.25">
      <c r="A111" s="5" t="s">
        <v>33</v>
      </c>
      <c r="B111" s="9" t="s">
        <v>123</v>
      </c>
      <c r="C111" s="22">
        <v>7000000</v>
      </c>
      <c r="D111" s="22"/>
      <c r="E111" s="22"/>
      <c r="F111" s="32">
        <f t="shared" si="3"/>
        <v>7000000</v>
      </c>
    </row>
    <row r="112" spans="1:6" ht="15.6" x14ac:dyDescent="0.25">
      <c r="A112" s="5" t="s">
        <v>33</v>
      </c>
      <c r="B112" s="9" t="s">
        <v>124</v>
      </c>
      <c r="C112" s="22">
        <v>20000000</v>
      </c>
      <c r="D112" s="22"/>
      <c r="E112" s="22"/>
      <c r="F112" s="32">
        <f t="shared" si="3"/>
        <v>20000000</v>
      </c>
    </row>
    <row r="113" spans="1:6" ht="15.6" x14ac:dyDescent="0.25">
      <c r="A113" s="5" t="s">
        <v>33</v>
      </c>
      <c r="B113" s="9" t="s">
        <v>125</v>
      </c>
      <c r="C113" s="22">
        <v>20000000</v>
      </c>
      <c r="D113" s="22"/>
      <c r="E113" s="22"/>
      <c r="F113" s="32">
        <f t="shared" si="3"/>
        <v>20000000</v>
      </c>
    </row>
    <row r="114" spans="1:6" ht="15.6" x14ac:dyDescent="0.25">
      <c r="A114" s="5" t="s">
        <v>33</v>
      </c>
      <c r="B114" s="9" t="s">
        <v>126</v>
      </c>
      <c r="C114" s="22">
        <v>65000000</v>
      </c>
      <c r="D114" s="22"/>
      <c r="E114" s="22"/>
      <c r="F114" s="32">
        <f t="shared" si="3"/>
        <v>65000000</v>
      </c>
    </row>
    <row r="115" spans="1:6" ht="15.6" x14ac:dyDescent="0.25">
      <c r="A115" s="5" t="s">
        <v>127</v>
      </c>
      <c r="B115" s="28" t="s">
        <v>128</v>
      </c>
      <c r="C115" s="21">
        <v>79623000</v>
      </c>
      <c r="D115" s="21"/>
      <c r="E115" s="21"/>
      <c r="F115" s="20">
        <f t="shared" si="3"/>
        <v>79623000</v>
      </c>
    </row>
    <row r="116" spans="1:6" ht="15.6" x14ac:dyDescent="0.25">
      <c r="A116" s="5" t="s">
        <v>33</v>
      </c>
      <c r="B116" s="9" t="s">
        <v>129</v>
      </c>
      <c r="C116" s="22">
        <v>12000000</v>
      </c>
      <c r="D116" s="22"/>
      <c r="E116" s="22"/>
      <c r="F116" s="32">
        <f t="shared" si="3"/>
        <v>12000000</v>
      </c>
    </row>
    <row r="117" spans="1:6" ht="15.6" x14ac:dyDescent="0.25">
      <c r="A117" s="5" t="s">
        <v>33</v>
      </c>
      <c r="B117" s="9" t="s">
        <v>130</v>
      </c>
      <c r="C117" s="22">
        <f>128334000-23711000</f>
        <v>104623000</v>
      </c>
      <c r="D117" s="22"/>
      <c r="E117" s="22"/>
      <c r="F117" s="32">
        <f t="shared" si="3"/>
        <v>104623000</v>
      </c>
    </row>
    <row r="118" spans="1:6" s="3" customFormat="1" ht="15.6" x14ac:dyDescent="0.3">
      <c r="A118" s="5">
        <v>10</v>
      </c>
      <c r="B118" s="13" t="s">
        <v>131</v>
      </c>
      <c r="C118" s="21">
        <v>300000000</v>
      </c>
      <c r="D118" s="21"/>
      <c r="E118" s="21"/>
      <c r="F118" s="32">
        <f t="shared" si="3"/>
        <v>300000000</v>
      </c>
    </row>
    <row r="119" spans="1:6" s="3" customFormat="1" ht="15.6" x14ac:dyDescent="0.3">
      <c r="A119" s="5" t="s">
        <v>2</v>
      </c>
      <c r="B119" s="13" t="s">
        <v>8</v>
      </c>
      <c r="C119" s="21">
        <f>C120+C141</f>
        <v>48116791000</v>
      </c>
      <c r="D119" s="21">
        <f t="shared" ref="D119:E119" si="4">D120+D141</f>
        <v>7057128000</v>
      </c>
      <c r="E119" s="21">
        <f t="shared" si="4"/>
        <v>7057128000</v>
      </c>
      <c r="F119" s="20">
        <f t="shared" si="3"/>
        <v>48116791000</v>
      </c>
    </row>
    <row r="120" spans="1:6" s="3" customFormat="1" ht="15.6" x14ac:dyDescent="0.3">
      <c r="A120" s="5">
        <v>1</v>
      </c>
      <c r="B120" s="13" t="s">
        <v>9</v>
      </c>
      <c r="C120" s="21">
        <f>SUM(C121:C140)</f>
        <v>12103213000</v>
      </c>
      <c r="D120" s="21">
        <f t="shared" ref="D120:E120" si="5">SUM(D121:D140)</f>
        <v>2207128000</v>
      </c>
      <c r="E120" s="21">
        <f t="shared" si="5"/>
        <v>3400000000</v>
      </c>
      <c r="F120" s="20">
        <f t="shared" si="3"/>
        <v>10910341000</v>
      </c>
    </row>
    <row r="121" spans="1:6" ht="15.6" x14ac:dyDescent="0.25">
      <c r="A121" s="6"/>
      <c r="B121" s="10" t="s">
        <v>132</v>
      </c>
      <c r="C121" s="22">
        <f>'[1]KẾ HOẠCH CHI ĐẦU TƯ PHÁT TRIỂNỢ'!$I$9-880000000+41344900</f>
        <v>8407278900</v>
      </c>
      <c r="D121" s="22"/>
      <c r="E121" s="22">
        <v>3400000000</v>
      </c>
      <c r="F121" s="32">
        <f t="shared" si="3"/>
        <v>5007278900</v>
      </c>
    </row>
    <row r="122" spans="1:6" ht="15.6" x14ac:dyDescent="0.25">
      <c r="A122" s="6"/>
      <c r="B122" s="9" t="s">
        <v>133</v>
      </c>
      <c r="C122" s="22">
        <v>2551000000</v>
      </c>
      <c r="D122" s="22"/>
      <c r="E122" s="22"/>
      <c r="F122" s="32">
        <f t="shared" si="3"/>
        <v>2551000000</v>
      </c>
    </row>
    <row r="123" spans="1:6" ht="15.6" x14ac:dyDescent="0.25">
      <c r="A123" s="6"/>
      <c r="B123" s="9" t="s">
        <v>10</v>
      </c>
      <c r="C123" s="22">
        <v>100000000</v>
      </c>
      <c r="D123" s="22"/>
      <c r="E123" s="22"/>
      <c r="F123" s="32">
        <f t="shared" si="3"/>
        <v>100000000</v>
      </c>
    </row>
    <row r="124" spans="1:6" ht="15.6" x14ac:dyDescent="0.25">
      <c r="A124" s="6"/>
      <c r="B124" s="9" t="s">
        <v>134</v>
      </c>
      <c r="C124" s="22">
        <v>70000000</v>
      </c>
      <c r="D124" s="22"/>
      <c r="E124" s="22"/>
      <c r="F124" s="32">
        <f t="shared" si="3"/>
        <v>70000000</v>
      </c>
    </row>
    <row r="125" spans="1:6" ht="15.6" x14ac:dyDescent="0.25">
      <c r="A125" s="6"/>
      <c r="B125" s="9" t="s">
        <v>135</v>
      </c>
      <c r="C125" s="22">
        <v>150000000</v>
      </c>
      <c r="D125" s="22"/>
      <c r="E125" s="22"/>
      <c r="F125" s="32">
        <f t="shared" si="3"/>
        <v>150000000</v>
      </c>
    </row>
    <row r="126" spans="1:6" ht="15.6" x14ac:dyDescent="0.25">
      <c r="A126" s="6"/>
      <c r="B126" s="9" t="s">
        <v>136</v>
      </c>
      <c r="C126" s="22">
        <v>450000000</v>
      </c>
      <c r="D126" s="22"/>
      <c r="E126" s="22"/>
      <c r="F126" s="32">
        <f t="shared" si="3"/>
        <v>450000000</v>
      </c>
    </row>
    <row r="127" spans="1:6" ht="15.6" x14ac:dyDescent="0.25">
      <c r="A127" s="6"/>
      <c r="B127" s="9" t="s">
        <v>137</v>
      </c>
      <c r="C127" s="22">
        <f>290000000-15065900</f>
        <v>274934100</v>
      </c>
      <c r="D127" s="22"/>
      <c r="E127" s="22"/>
      <c r="F127" s="32">
        <f t="shared" si="3"/>
        <v>274934100</v>
      </c>
    </row>
    <row r="128" spans="1:6" ht="15.6" x14ac:dyDescent="0.25">
      <c r="A128" s="6"/>
      <c r="B128" s="9" t="s">
        <v>138</v>
      </c>
      <c r="C128" s="22">
        <v>100000000</v>
      </c>
      <c r="D128" s="22"/>
      <c r="E128" s="22"/>
      <c r="F128" s="32">
        <f t="shared" si="3"/>
        <v>100000000</v>
      </c>
    </row>
    <row r="129" spans="1:6" s="3" customFormat="1" ht="15.6" x14ac:dyDescent="0.3">
      <c r="A129" s="5"/>
      <c r="B129" s="10" t="s">
        <v>30</v>
      </c>
      <c r="C129" s="22"/>
      <c r="D129" s="22">
        <v>200000000</v>
      </c>
      <c r="E129" s="22"/>
      <c r="F129" s="32">
        <f t="shared" si="3"/>
        <v>200000000</v>
      </c>
    </row>
    <row r="130" spans="1:6" ht="37.200000000000003" customHeight="1" x14ac:dyDescent="0.25">
      <c r="A130" s="6"/>
      <c r="B130" s="10" t="s">
        <v>25</v>
      </c>
      <c r="C130" s="22"/>
      <c r="D130" s="22">
        <v>650000000</v>
      </c>
      <c r="E130" s="22"/>
      <c r="F130" s="32">
        <f t="shared" si="3"/>
        <v>650000000</v>
      </c>
    </row>
    <row r="131" spans="1:6" ht="30" customHeight="1" x14ac:dyDescent="0.25">
      <c r="A131" s="6"/>
      <c r="B131" s="10" t="s">
        <v>27</v>
      </c>
      <c r="C131" s="22"/>
      <c r="D131" s="22">
        <v>351000000</v>
      </c>
      <c r="E131" s="22"/>
      <c r="F131" s="32">
        <f t="shared" si="3"/>
        <v>351000000</v>
      </c>
    </row>
    <row r="132" spans="1:6" ht="17.399999999999999" customHeight="1" x14ac:dyDescent="0.25">
      <c r="A132" s="6"/>
      <c r="B132" s="10" t="s">
        <v>28</v>
      </c>
      <c r="C132" s="22"/>
      <c r="D132" s="22">
        <v>65000000</v>
      </c>
      <c r="E132" s="22"/>
      <c r="F132" s="32">
        <f t="shared" si="3"/>
        <v>65000000</v>
      </c>
    </row>
    <row r="133" spans="1:6" ht="17.399999999999999" customHeight="1" x14ac:dyDescent="0.25">
      <c r="A133" s="6"/>
      <c r="B133" s="10" t="s">
        <v>29</v>
      </c>
      <c r="C133" s="22"/>
      <c r="D133" s="22">
        <v>30000000</v>
      </c>
      <c r="E133" s="14"/>
      <c r="F133" s="32">
        <f t="shared" si="3"/>
        <v>30000000</v>
      </c>
    </row>
    <row r="134" spans="1:6" ht="15.6" x14ac:dyDescent="0.25">
      <c r="A134" s="6"/>
      <c r="B134" s="10" t="s">
        <v>21</v>
      </c>
      <c r="C134" s="22"/>
      <c r="D134" s="22">
        <v>220000000</v>
      </c>
      <c r="E134" s="14"/>
      <c r="F134" s="32">
        <f t="shared" si="3"/>
        <v>220000000</v>
      </c>
    </row>
    <row r="135" spans="1:6" ht="15.6" x14ac:dyDescent="0.25">
      <c r="A135" s="6"/>
      <c r="B135" s="10" t="s">
        <v>24</v>
      </c>
      <c r="C135" s="22"/>
      <c r="D135" s="22">
        <f>61000000+128000</f>
        <v>61128000</v>
      </c>
      <c r="E135" s="14"/>
      <c r="F135" s="32">
        <f t="shared" ref="F135:F198" si="6">C135+D135-E135</f>
        <v>61128000</v>
      </c>
    </row>
    <row r="136" spans="1:6" ht="15.6" x14ac:dyDescent="0.25">
      <c r="A136" s="6"/>
      <c r="B136" s="10" t="s">
        <v>22</v>
      </c>
      <c r="C136" s="22"/>
      <c r="D136" s="22">
        <v>50000000</v>
      </c>
      <c r="E136" s="14"/>
      <c r="F136" s="32">
        <f t="shared" si="6"/>
        <v>50000000</v>
      </c>
    </row>
    <row r="137" spans="1:6" ht="15.6" x14ac:dyDescent="0.25">
      <c r="A137" s="6"/>
      <c r="B137" s="9" t="s">
        <v>10</v>
      </c>
      <c r="C137" s="22"/>
      <c r="D137" s="22">
        <v>150000000</v>
      </c>
      <c r="E137" s="14"/>
      <c r="F137" s="32">
        <f t="shared" si="6"/>
        <v>150000000</v>
      </c>
    </row>
    <row r="138" spans="1:6" ht="15.6" x14ac:dyDescent="0.25">
      <c r="A138" s="6"/>
      <c r="B138" s="9" t="s">
        <v>23</v>
      </c>
      <c r="C138" s="22"/>
      <c r="D138" s="22">
        <v>135000000</v>
      </c>
      <c r="E138" s="14"/>
      <c r="F138" s="32">
        <f t="shared" si="6"/>
        <v>135000000</v>
      </c>
    </row>
    <row r="139" spans="1:6" ht="15.6" x14ac:dyDescent="0.25">
      <c r="A139" s="6"/>
      <c r="B139" s="9" t="s">
        <v>19</v>
      </c>
      <c r="C139" s="22"/>
      <c r="D139" s="22">
        <v>195000000</v>
      </c>
      <c r="E139" s="14"/>
      <c r="F139" s="32">
        <f t="shared" si="6"/>
        <v>195000000</v>
      </c>
    </row>
    <row r="140" spans="1:6" ht="15.6" x14ac:dyDescent="0.25">
      <c r="A140" s="6"/>
      <c r="B140" s="9" t="s">
        <v>18</v>
      </c>
      <c r="C140" s="22"/>
      <c r="D140" s="22">
        <v>100000000</v>
      </c>
      <c r="E140" s="14"/>
      <c r="F140" s="32">
        <f t="shared" si="6"/>
        <v>100000000</v>
      </c>
    </row>
    <row r="141" spans="1:6" s="3" customFormat="1" ht="15.6" x14ac:dyDescent="0.3">
      <c r="A141" s="5">
        <v>2</v>
      </c>
      <c r="B141" s="13" t="s">
        <v>11</v>
      </c>
      <c r="C141" s="21">
        <f>C142+C202+C210</f>
        <v>36013578000</v>
      </c>
      <c r="D141" s="21">
        <f t="shared" ref="D141:E141" si="7">D142+D202+D210</f>
        <v>4850000000</v>
      </c>
      <c r="E141" s="21">
        <f t="shared" si="7"/>
        <v>3657128000</v>
      </c>
      <c r="F141" s="20">
        <f t="shared" si="6"/>
        <v>37206450000</v>
      </c>
    </row>
    <row r="142" spans="1:6" ht="15.6" x14ac:dyDescent="0.25">
      <c r="A142" s="5" t="s">
        <v>139</v>
      </c>
      <c r="B142" s="13" t="s">
        <v>140</v>
      </c>
      <c r="C142" s="21">
        <f>SUM(C143:C201)</f>
        <v>12521578000</v>
      </c>
      <c r="D142" s="21">
        <f t="shared" ref="D142:E142" si="8">SUM(D143:D201)</f>
        <v>0</v>
      </c>
      <c r="E142" s="21">
        <f t="shared" si="8"/>
        <v>857128000</v>
      </c>
      <c r="F142" s="20">
        <f t="shared" si="6"/>
        <v>11664450000</v>
      </c>
    </row>
    <row r="143" spans="1:6" s="3" customFormat="1" ht="15.6" x14ac:dyDescent="0.3">
      <c r="A143" s="5"/>
      <c r="B143" s="9" t="s">
        <v>141</v>
      </c>
      <c r="C143" s="22">
        <v>239468000</v>
      </c>
      <c r="D143" s="22"/>
      <c r="E143" s="22"/>
      <c r="F143" s="32">
        <f t="shared" si="6"/>
        <v>239468000</v>
      </c>
    </row>
    <row r="144" spans="1:6" s="3" customFormat="1" ht="15.6" x14ac:dyDescent="0.3">
      <c r="A144" s="5"/>
      <c r="B144" s="9" t="s">
        <v>142</v>
      </c>
      <c r="C144" s="22">
        <v>68000000</v>
      </c>
      <c r="D144" s="22"/>
      <c r="E144" s="22"/>
      <c r="F144" s="32">
        <f t="shared" si="6"/>
        <v>68000000</v>
      </c>
    </row>
    <row r="145" spans="1:6" s="3" customFormat="1" ht="15.6" x14ac:dyDescent="0.3">
      <c r="A145" s="5"/>
      <c r="B145" s="9" t="s">
        <v>143</v>
      </c>
      <c r="C145" s="22">
        <v>94430999.999999985</v>
      </c>
      <c r="D145" s="22"/>
      <c r="E145" s="22"/>
      <c r="F145" s="32">
        <f t="shared" si="6"/>
        <v>94430999.999999985</v>
      </c>
    </row>
    <row r="146" spans="1:6" s="3" customFormat="1" ht="15.6" x14ac:dyDescent="0.3">
      <c r="A146" s="5"/>
      <c r="B146" s="9" t="s">
        <v>144</v>
      </c>
      <c r="C146" s="22">
        <v>33500000</v>
      </c>
      <c r="D146" s="22"/>
      <c r="E146" s="22"/>
      <c r="F146" s="32">
        <f t="shared" si="6"/>
        <v>33500000</v>
      </c>
    </row>
    <row r="147" spans="1:6" s="3" customFormat="1" ht="15.6" x14ac:dyDescent="0.3">
      <c r="A147" s="5"/>
      <c r="B147" s="9" t="s">
        <v>145</v>
      </c>
      <c r="C147" s="22">
        <v>31045000</v>
      </c>
      <c r="D147" s="22"/>
      <c r="E147" s="22"/>
      <c r="F147" s="32">
        <f t="shared" si="6"/>
        <v>31045000</v>
      </c>
    </row>
    <row r="148" spans="1:6" s="3" customFormat="1" ht="15.6" x14ac:dyDescent="0.3">
      <c r="A148" s="5"/>
      <c r="B148" s="9" t="s">
        <v>146</v>
      </c>
      <c r="C148" s="22">
        <v>77388000</v>
      </c>
      <c r="D148" s="22"/>
      <c r="E148" s="22"/>
      <c r="F148" s="32">
        <f t="shared" si="6"/>
        <v>77388000</v>
      </c>
    </row>
    <row r="149" spans="1:6" s="3" customFormat="1" ht="15.6" x14ac:dyDescent="0.3">
      <c r="A149" s="5"/>
      <c r="B149" s="9" t="s">
        <v>147</v>
      </c>
      <c r="C149" s="22">
        <v>122716000.0000001</v>
      </c>
      <c r="D149" s="22"/>
      <c r="E149" s="22"/>
      <c r="F149" s="32">
        <f t="shared" si="6"/>
        <v>122716000.0000001</v>
      </c>
    </row>
    <row r="150" spans="1:6" s="3" customFormat="1" ht="15.6" x14ac:dyDescent="0.3">
      <c r="A150" s="5"/>
      <c r="B150" s="9" t="s">
        <v>148</v>
      </c>
      <c r="C150" s="22">
        <v>55785999.999999888</v>
      </c>
      <c r="D150" s="22"/>
      <c r="E150" s="22"/>
      <c r="F150" s="32">
        <f t="shared" si="6"/>
        <v>55785999.999999888</v>
      </c>
    </row>
    <row r="151" spans="1:6" s="3" customFormat="1" ht="15.6" x14ac:dyDescent="0.3">
      <c r="A151" s="5"/>
      <c r="B151" s="9" t="s">
        <v>149</v>
      </c>
      <c r="C151" s="22">
        <v>32500000</v>
      </c>
      <c r="D151" s="22"/>
      <c r="E151" s="22"/>
      <c r="F151" s="32">
        <f t="shared" si="6"/>
        <v>32500000</v>
      </c>
    </row>
    <row r="152" spans="1:6" s="3" customFormat="1" ht="15.6" x14ac:dyDescent="0.3">
      <c r="A152" s="5"/>
      <c r="B152" s="9" t="s">
        <v>150</v>
      </c>
      <c r="C152" s="22">
        <v>26500000</v>
      </c>
      <c r="D152" s="22"/>
      <c r="E152" s="22"/>
      <c r="F152" s="32">
        <f t="shared" si="6"/>
        <v>26500000</v>
      </c>
    </row>
    <row r="153" spans="1:6" s="3" customFormat="1" ht="15.6" x14ac:dyDescent="0.3">
      <c r="A153" s="5"/>
      <c r="B153" s="9" t="s">
        <v>151</v>
      </c>
      <c r="C153" s="22">
        <v>85984000.000000015</v>
      </c>
      <c r="D153" s="22"/>
      <c r="E153" s="22"/>
      <c r="F153" s="32">
        <f t="shared" si="6"/>
        <v>85984000.000000015</v>
      </c>
    </row>
    <row r="154" spans="1:6" s="3" customFormat="1" ht="15.6" x14ac:dyDescent="0.3">
      <c r="A154" s="5"/>
      <c r="B154" s="9" t="s">
        <v>152</v>
      </c>
      <c r="C154" s="22">
        <v>16000000</v>
      </c>
      <c r="D154" s="22"/>
      <c r="E154" s="22"/>
      <c r="F154" s="32">
        <f t="shared" si="6"/>
        <v>16000000</v>
      </c>
    </row>
    <row r="155" spans="1:6" s="3" customFormat="1" ht="15.6" x14ac:dyDescent="0.3">
      <c r="A155" s="5"/>
      <c r="B155" s="9" t="s">
        <v>153</v>
      </c>
      <c r="C155" s="22">
        <v>148908000</v>
      </c>
      <c r="D155" s="22"/>
      <c r="E155" s="22"/>
      <c r="F155" s="32">
        <f t="shared" si="6"/>
        <v>148908000</v>
      </c>
    </row>
    <row r="156" spans="1:6" s="3" customFormat="1" ht="15.6" x14ac:dyDescent="0.3">
      <c r="A156" s="5"/>
      <c r="B156" s="9" t="s">
        <v>154</v>
      </c>
      <c r="C156" s="22">
        <v>29179000</v>
      </c>
      <c r="D156" s="22"/>
      <c r="E156" s="22"/>
      <c r="F156" s="32">
        <f t="shared" si="6"/>
        <v>29179000</v>
      </c>
    </row>
    <row r="157" spans="1:6" s="3" customFormat="1" ht="15.6" x14ac:dyDescent="0.3">
      <c r="A157" s="5"/>
      <c r="B157" s="9" t="s">
        <v>146</v>
      </c>
      <c r="C157" s="22">
        <v>77388000</v>
      </c>
      <c r="D157" s="22"/>
      <c r="E157" s="22"/>
      <c r="F157" s="32">
        <f t="shared" si="6"/>
        <v>77388000</v>
      </c>
    </row>
    <row r="158" spans="1:6" s="3" customFormat="1" ht="15.6" x14ac:dyDescent="0.3">
      <c r="A158" s="5"/>
      <c r="B158" s="9" t="s">
        <v>155</v>
      </c>
      <c r="C158" s="22">
        <v>56061999.999999978</v>
      </c>
      <c r="D158" s="22"/>
      <c r="E158" s="22"/>
      <c r="F158" s="32">
        <f t="shared" si="6"/>
        <v>56061999.999999978</v>
      </c>
    </row>
    <row r="159" spans="1:6" s="3" customFormat="1" ht="15.6" x14ac:dyDescent="0.3">
      <c r="A159" s="5"/>
      <c r="B159" s="9" t="s">
        <v>156</v>
      </c>
      <c r="C159" s="22">
        <v>133000000</v>
      </c>
      <c r="D159" s="22"/>
      <c r="E159" s="22"/>
      <c r="F159" s="32">
        <f t="shared" si="6"/>
        <v>133000000</v>
      </c>
    </row>
    <row r="160" spans="1:6" s="3" customFormat="1" ht="15.6" x14ac:dyDescent="0.3">
      <c r="A160" s="5"/>
      <c r="B160" s="9" t="s">
        <v>157</v>
      </c>
      <c r="C160" s="22">
        <v>285000000</v>
      </c>
      <c r="D160" s="22"/>
      <c r="E160" s="22"/>
      <c r="F160" s="32">
        <f t="shared" si="6"/>
        <v>285000000</v>
      </c>
    </row>
    <row r="161" spans="1:6" s="3" customFormat="1" ht="15.6" x14ac:dyDescent="0.3">
      <c r="A161" s="5"/>
      <c r="B161" s="9" t="s">
        <v>158</v>
      </c>
      <c r="C161" s="22">
        <v>148000000</v>
      </c>
      <c r="D161" s="22"/>
      <c r="E161" s="22"/>
      <c r="F161" s="32">
        <f t="shared" si="6"/>
        <v>148000000</v>
      </c>
    </row>
    <row r="162" spans="1:6" s="3" customFormat="1" ht="15.6" x14ac:dyDescent="0.3">
      <c r="A162" s="5"/>
      <c r="B162" s="9" t="s">
        <v>159</v>
      </c>
      <c r="C162" s="22">
        <v>339000000</v>
      </c>
      <c r="D162" s="22"/>
      <c r="E162" s="22"/>
      <c r="F162" s="32">
        <f t="shared" si="6"/>
        <v>339000000</v>
      </c>
    </row>
    <row r="163" spans="1:6" s="3" customFormat="1" ht="15.6" x14ac:dyDescent="0.3">
      <c r="A163" s="5"/>
      <c r="B163" s="9" t="s">
        <v>160</v>
      </c>
      <c r="C163" s="22">
        <v>648000000</v>
      </c>
      <c r="D163" s="22"/>
      <c r="E163" s="22">
        <v>460000000</v>
      </c>
      <c r="F163" s="32">
        <f t="shared" si="6"/>
        <v>188000000</v>
      </c>
    </row>
    <row r="164" spans="1:6" s="3" customFormat="1" ht="15.6" x14ac:dyDescent="0.3">
      <c r="A164" s="5"/>
      <c r="B164" s="9" t="s">
        <v>161</v>
      </c>
      <c r="C164" s="22">
        <v>93000000</v>
      </c>
      <c r="D164" s="22"/>
      <c r="E164" s="22"/>
      <c r="F164" s="32">
        <f t="shared" si="6"/>
        <v>93000000</v>
      </c>
    </row>
    <row r="165" spans="1:6" s="3" customFormat="1" ht="15.6" x14ac:dyDescent="0.3">
      <c r="A165" s="5"/>
      <c r="B165" s="9" t="s">
        <v>162</v>
      </c>
      <c r="C165" s="22">
        <v>23413000.000000011</v>
      </c>
      <c r="D165" s="22"/>
      <c r="E165" s="22"/>
      <c r="F165" s="32">
        <f t="shared" si="6"/>
        <v>23413000.000000011</v>
      </c>
    </row>
    <row r="166" spans="1:6" s="3" customFormat="1" ht="15.6" x14ac:dyDescent="0.3">
      <c r="A166" s="5"/>
      <c r="B166" s="9" t="s">
        <v>163</v>
      </c>
      <c r="C166" s="22">
        <v>46000000</v>
      </c>
      <c r="D166" s="22"/>
      <c r="E166" s="22"/>
      <c r="F166" s="32">
        <f t="shared" si="6"/>
        <v>46000000</v>
      </c>
    </row>
    <row r="167" spans="1:6" s="3" customFormat="1" ht="15.6" x14ac:dyDescent="0.3">
      <c r="A167" s="5"/>
      <c r="B167" s="9" t="s">
        <v>164</v>
      </c>
      <c r="C167" s="22">
        <v>73033000</v>
      </c>
      <c r="D167" s="22"/>
      <c r="E167" s="22"/>
      <c r="F167" s="32">
        <f t="shared" si="6"/>
        <v>73033000</v>
      </c>
    </row>
    <row r="168" spans="1:6" s="3" customFormat="1" ht="15.6" x14ac:dyDescent="0.3">
      <c r="A168" s="5"/>
      <c r="B168" s="9" t="s">
        <v>165</v>
      </c>
      <c r="C168" s="22">
        <f>199891000-23213000</f>
        <v>176678000</v>
      </c>
      <c r="D168" s="22"/>
      <c r="E168" s="22"/>
      <c r="F168" s="32">
        <f t="shared" si="6"/>
        <v>176678000</v>
      </c>
    </row>
    <row r="169" spans="1:6" s="3" customFormat="1" ht="15.6" x14ac:dyDescent="0.3">
      <c r="A169" s="5"/>
      <c r="B169" s="9" t="s">
        <v>166</v>
      </c>
      <c r="C169" s="22">
        <v>60000000</v>
      </c>
      <c r="D169" s="22"/>
      <c r="E169" s="22"/>
      <c r="F169" s="32">
        <f t="shared" si="6"/>
        <v>60000000</v>
      </c>
    </row>
    <row r="170" spans="1:6" s="3" customFormat="1" ht="15.6" x14ac:dyDescent="0.3">
      <c r="A170" s="5"/>
      <c r="B170" s="9" t="s">
        <v>167</v>
      </c>
      <c r="C170" s="22">
        <v>320531000</v>
      </c>
      <c r="D170" s="22"/>
      <c r="E170" s="22"/>
      <c r="F170" s="32">
        <f t="shared" si="6"/>
        <v>320531000</v>
      </c>
    </row>
    <row r="171" spans="1:6" s="3" customFormat="1" ht="15.6" x14ac:dyDescent="0.3">
      <c r="A171" s="5"/>
      <c r="B171" s="9" t="s">
        <v>168</v>
      </c>
      <c r="C171" s="22">
        <v>279371000.00000006</v>
      </c>
      <c r="D171" s="22"/>
      <c r="E171" s="22"/>
      <c r="F171" s="32">
        <f t="shared" si="6"/>
        <v>279371000.00000006</v>
      </c>
    </row>
    <row r="172" spans="1:6" s="3" customFormat="1" ht="15.6" x14ac:dyDescent="0.3">
      <c r="A172" s="5"/>
      <c r="B172" s="9" t="s">
        <v>169</v>
      </c>
      <c r="C172" s="22">
        <v>81000000</v>
      </c>
      <c r="D172" s="22"/>
      <c r="E172" s="22"/>
      <c r="F172" s="32">
        <f t="shared" si="6"/>
        <v>81000000</v>
      </c>
    </row>
    <row r="173" spans="1:6" s="3" customFormat="1" ht="15.6" x14ac:dyDescent="0.3">
      <c r="A173" s="5"/>
      <c r="B173" s="9" t="s">
        <v>170</v>
      </c>
      <c r="C173" s="22">
        <v>74036999.999999985</v>
      </c>
      <c r="D173" s="22"/>
      <c r="E173" s="22"/>
      <c r="F173" s="32">
        <f t="shared" si="6"/>
        <v>74036999.999999985</v>
      </c>
    </row>
    <row r="174" spans="1:6" s="3" customFormat="1" ht="15.6" x14ac:dyDescent="0.3">
      <c r="A174" s="5"/>
      <c r="B174" s="9" t="s">
        <v>171</v>
      </c>
      <c r="C174" s="22">
        <v>56014000.000000127</v>
      </c>
      <c r="D174" s="22"/>
      <c r="E174" s="22"/>
      <c r="F174" s="32">
        <f t="shared" si="6"/>
        <v>56014000.000000127</v>
      </c>
    </row>
    <row r="175" spans="1:6" s="3" customFormat="1" ht="15.6" x14ac:dyDescent="0.3">
      <c r="A175" s="5"/>
      <c r="B175" s="9" t="s">
        <v>172</v>
      </c>
      <c r="C175" s="22">
        <v>68672000.00000003</v>
      </c>
      <c r="D175" s="22"/>
      <c r="E175" s="22"/>
      <c r="F175" s="32">
        <f t="shared" si="6"/>
        <v>68672000.00000003</v>
      </c>
    </row>
    <row r="176" spans="1:6" s="3" customFormat="1" ht="15.6" x14ac:dyDescent="0.3">
      <c r="A176" s="5"/>
      <c r="B176" s="9" t="s">
        <v>173</v>
      </c>
      <c r="C176" s="22">
        <v>53820000.000000052</v>
      </c>
      <c r="D176" s="22"/>
      <c r="E176" s="22"/>
      <c r="F176" s="32">
        <f t="shared" si="6"/>
        <v>53820000.000000052</v>
      </c>
    </row>
    <row r="177" spans="1:6" s="3" customFormat="1" ht="15.6" x14ac:dyDescent="0.3">
      <c r="A177" s="5"/>
      <c r="B177" s="9" t="s">
        <v>174</v>
      </c>
      <c r="C177" s="22">
        <v>210475000.00000003</v>
      </c>
      <c r="D177" s="22"/>
      <c r="E177" s="22"/>
      <c r="F177" s="32">
        <f t="shared" si="6"/>
        <v>210475000.00000003</v>
      </c>
    </row>
    <row r="178" spans="1:6" s="3" customFormat="1" ht="15.6" x14ac:dyDescent="0.3">
      <c r="A178" s="5"/>
      <c r="B178" s="9" t="s">
        <v>175</v>
      </c>
      <c r="C178" s="22">
        <v>18200000</v>
      </c>
      <c r="D178" s="22"/>
      <c r="E178" s="22"/>
      <c r="F178" s="32">
        <f t="shared" si="6"/>
        <v>18200000</v>
      </c>
    </row>
    <row r="179" spans="1:6" s="3" customFormat="1" ht="15.6" x14ac:dyDescent="0.3">
      <c r="A179" s="5"/>
      <c r="B179" s="9" t="s">
        <v>176</v>
      </c>
      <c r="C179" s="22">
        <v>356928000.00000012</v>
      </c>
      <c r="D179" s="22"/>
      <c r="E179" s="22"/>
      <c r="F179" s="32">
        <f t="shared" si="6"/>
        <v>356928000.00000012</v>
      </c>
    </row>
    <row r="180" spans="1:6" s="3" customFormat="1" ht="15.6" x14ac:dyDescent="0.3">
      <c r="A180" s="5"/>
      <c r="B180" s="9" t="s">
        <v>177</v>
      </c>
      <c r="C180" s="22">
        <v>1000000000</v>
      </c>
      <c r="D180" s="22"/>
      <c r="E180" s="22"/>
      <c r="F180" s="32">
        <f t="shared" si="6"/>
        <v>1000000000</v>
      </c>
    </row>
    <row r="181" spans="1:6" s="3" customFormat="1" ht="15.6" x14ac:dyDescent="0.3">
      <c r="A181" s="5"/>
      <c r="B181" s="9" t="s">
        <v>178</v>
      </c>
      <c r="C181" s="22">
        <v>1200000000</v>
      </c>
      <c r="D181" s="22"/>
      <c r="E181" s="22"/>
      <c r="F181" s="32">
        <f t="shared" si="6"/>
        <v>1200000000</v>
      </c>
    </row>
    <row r="182" spans="1:6" s="3" customFormat="1" ht="15.6" x14ac:dyDescent="0.3">
      <c r="A182" s="5"/>
      <c r="B182" s="9" t="s">
        <v>179</v>
      </c>
      <c r="C182" s="22">
        <v>260333999.99999994</v>
      </c>
      <c r="D182" s="22"/>
      <c r="E182" s="22"/>
      <c r="F182" s="32">
        <f t="shared" si="6"/>
        <v>260333999.99999994</v>
      </c>
    </row>
    <row r="183" spans="1:6" s="3" customFormat="1" ht="15.6" x14ac:dyDescent="0.3">
      <c r="A183" s="5"/>
      <c r="B183" s="9" t="s">
        <v>180</v>
      </c>
      <c r="C183" s="22">
        <v>61713000.000000022</v>
      </c>
      <c r="D183" s="22"/>
      <c r="E183" s="22"/>
      <c r="F183" s="32">
        <f t="shared" si="6"/>
        <v>61713000.000000022</v>
      </c>
    </row>
    <row r="184" spans="1:6" s="3" customFormat="1" ht="15.6" x14ac:dyDescent="0.3">
      <c r="A184" s="5"/>
      <c r="B184" s="9" t="s">
        <v>181</v>
      </c>
      <c r="C184" s="22">
        <v>314296999.99999994</v>
      </c>
      <c r="D184" s="22"/>
      <c r="E184" s="22"/>
      <c r="F184" s="32">
        <f t="shared" si="6"/>
        <v>314296999.99999994</v>
      </c>
    </row>
    <row r="185" spans="1:6" s="3" customFormat="1" ht="15.6" x14ac:dyDescent="0.3">
      <c r="A185" s="5"/>
      <c r="B185" s="9" t="s">
        <v>182</v>
      </c>
      <c r="C185" s="22">
        <v>171440999.99999997</v>
      </c>
      <c r="D185" s="22"/>
      <c r="E185" s="22"/>
      <c r="F185" s="32">
        <f t="shared" si="6"/>
        <v>171440999.99999997</v>
      </c>
    </row>
    <row r="186" spans="1:6" s="3" customFormat="1" ht="15.6" x14ac:dyDescent="0.3">
      <c r="A186" s="5"/>
      <c r="B186" s="9" t="s">
        <v>183</v>
      </c>
      <c r="C186" s="22">
        <v>417536000</v>
      </c>
      <c r="D186" s="22"/>
      <c r="E186" s="22"/>
      <c r="F186" s="32">
        <f t="shared" si="6"/>
        <v>417536000</v>
      </c>
    </row>
    <row r="187" spans="1:6" s="3" customFormat="1" ht="15.6" x14ac:dyDescent="0.3">
      <c r="A187" s="5"/>
      <c r="B187" s="9" t="s">
        <v>184</v>
      </c>
      <c r="C187" s="22">
        <v>311826000</v>
      </c>
      <c r="D187" s="22"/>
      <c r="E187" s="22"/>
      <c r="F187" s="32">
        <f t="shared" si="6"/>
        <v>311826000</v>
      </c>
    </row>
    <row r="188" spans="1:6" s="3" customFormat="1" ht="15.6" x14ac:dyDescent="0.3">
      <c r="A188" s="5"/>
      <c r="B188" s="9" t="s">
        <v>185</v>
      </c>
      <c r="C188" s="22">
        <v>11400000.000000006</v>
      </c>
      <c r="D188" s="22"/>
      <c r="E188" s="22"/>
      <c r="F188" s="32">
        <f t="shared" si="6"/>
        <v>11400000.000000006</v>
      </c>
    </row>
    <row r="189" spans="1:6" s="3" customFormat="1" ht="15.6" x14ac:dyDescent="0.3">
      <c r="A189" s="5"/>
      <c r="B189" s="9" t="s">
        <v>186</v>
      </c>
      <c r="C189" s="22">
        <v>117610000</v>
      </c>
      <c r="D189" s="22"/>
      <c r="E189" s="22"/>
      <c r="F189" s="32">
        <f t="shared" si="6"/>
        <v>117610000</v>
      </c>
    </row>
    <row r="190" spans="1:6" s="3" customFormat="1" ht="15.6" x14ac:dyDescent="0.3">
      <c r="A190" s="5"/>
      <c r="B190" s="9" t="s">
        <v>187</v>
      </c>
      <c r="C190" s="22">
        <v>102250000</v>
      </c>
      <c r="D190" s="22"/>
      <c r="E190" s="22"/>
      <c r="F190" s="32">
        <f t="shared" si="6"/>
        <v>102250000</v>
      </c>
    </row>
    <row r="191" spans="1:6" s="3" customFormat="1" ht="15.6" x14ac:dyDescent="0.3">
      <c r="A191" s="5"/>
      <c r="B191" s="9" t="s">
        <v>188</v>
      </c>
      <c r="C191" s="22">
        <v>144859999.99999997</v>
      </c>
      <c r="D191" s="22"/>
      <c r="E191" s="22"/>
      <c r="F191" s="32">
        <f t="shared" si="6"/>
        <v>144859999.99999997</v>
      </c>
    </row>
    <row r="192" spans="1:6" s="3" customFormat="1" ht="15.6" x14ac:dyDescent="0.3">
      <c r="A192" s="5"/>
      <c r="B192" s="9" t="s">
        <v>189</v>
      </c>
      <c r="C192" s="22">
        <v>286200000</v>
      </c>
      <c r="D192" s="22"/>
      <c r="E192" s="22"/>
      <c r="F192" s="32">
        <f t="shared" si="6"/>
        <v>286200000</v>
      </c>
    </row>
    <row r="193" spans="1:6" s="3" customFormat="1" ht="15.6" x14ac:dyDescent="0.3">
      <c r="A193" s="5"/>
      <c r="B193" s="9" t="s">
        <v>190</v>
      </c>
      <c r="C193" s="22">
        <v>550000000</v>
      </c>
      <c r="D193" s="22"/>
      <c r="E193" s="22"/>
      <c r="F193" s="32">
        <f t="shared" si="6"/>
        <v>550000000</v>
      </c>
    </row>
    <row r="194" spans="1:6" s="3" customFormat="1" ht="15.6" x14ac:dyDescent="0.3">
      <c r="A194" s="5"/>
      <c r="B194" s="9" t="s">
        <v>191</v>
      </c>
      <c r="C194" s="22">
        <v>52635000.00000006</v>
      </c>
      <c r="D194" s="22"/>
      <c r="E194" s="22"/>
      <c r="F194" s="32">
        <f t="shared" si="6"/>
        <v>52635000.00000006</v>
      </c>
    </row>
    <row r="195" spans="1:6" s="3" customFormat="1" ht="15.6" x14ac:dyDescent="0.3">
      <c r="A195" s="5"/>
      <c r="B195" s="9" t="s">
        <v>192</v>
      </c>
      <c r="C195" s="22">
        <v>470500000</v>
      </c>
      <c r="D195" s="22"/>
      <c r="E195" s="22"/>
      <c r="F195" s="32">
        <f t="shared" si="6"/>
        <v>470500000</v>
      </c>
    </row>
    <row r="196" spans="1:6" s="3" customFormat="1" ht="15.6" x14ac:dyDescent="0.3">
      <c r="A196" s="5"/>
      <c r="B196" s="9" t="s">
        <v>193</v>
      </c>
      <c r="C196" s="22">
        <v>400118000</v>
      </c>
      <c r="D196" s="22"/>
      <c r="E196" s="22"/>
      <c r="F196" s="32">
        <f t="shared" si="6"/>
        <v>400118000</v>
      </c>
    </row>
    <row r="197" spans="1:6" s="3" customFormat="1" ht="15.6" x14ac:dyDescent="0.3">
      <c r="A197" s="5"/>
      <c r="B197" s="9" t="s">
        <v>194</v>
      </c>
      <c r="C197" s="22">
        <v>570000000</v>
      </c>
      <c r="D197" s="22"/>
      <c r="E197" s="22"/>
      <c r="F197" s="32">
        <f t="shared" si="6"/>
        <v>570000000</v>
      </c>
    </row>
    <row r="198" spans="1:6" s="3" customFormat="1" ht="15.6" x14ac:dyDescent="0.3">
      <c r="A198" s="5"/>
      <c r="B198" s="9" t="s">
        <v>195</v>
      </c>
      <c r="C198" s="22">
        <v>440703000</v>
      </c>
      <c r="D198" s="22"/>
      <c r="E198" s="22"/>
      <c r="F198" s="32">
        <f t="shared" si="6"/>
        <v>440703000</v>
      </c>
    </row>
    <row r="199" spans="1:6" s="3" customFormat="1" ht="15.6" x14ac:dyDescent="0.3">
      <c r="A199" s="5"/>
      <c r="B199" s="9" t="s">
        <v>196</v>
      </c>
      <c r="C199" s="22">
        <f>1277128000-880000000</f>
        <v>397128000</v>
      </c>
      <c r="D199" s="22"/>
      <c r="E199" s="22">
        <f>C199</f>
        <v>397128000</v>
      </c>
      <c r="F199" s="32">
        <f t="shared" ref="F199:F209" si="9">C199+D199-E199</f>
        <v>0</v>
      </c>
    </row>
    <row r="200" spans="1:6" s="3" customFormat="1" ht="15.6" x14ac:dyDescent="0.3">
      <c r="A200" s="5"/>
      <c r="B200" s="9" t="s">
        <v>197</v>
      </c>
      <c r="C200" s="22">
        <v>123000000</v>
      </c>
      <c r="D200" s="22"/>
      <c r="E200" s="22"/>
      <c r="F200" s="32">
        <f t="shared" si="9"/>
        <v>123000000</v>
      </c>
    </row>
    <row r="201" spans="1:6" s="3" customFormat="1" ht="15.6" x14ac:dyDescent="0.3">
      <c r="A201" s="5"/>
      <c r="B201" s="9" t="s">
        <v>198</v>
      </c>
      <c r="C201" s="22">
        <v>379000000</v>
      </c>
      <c r="D201" s="22"/>
      <c r="E201" s="22"/>
      <c r="F201" s="32">
        <f t="shared" si="9"/>
        <v>379000000</v>
      </c>
    </row>
    <row r="202" spans="1:6" s="3" customFormat="1" ht="15.6" x14ac:dyDescent="0.3">
      <c r="A202" s="5" t="s">
        <v>6</v>
      </c>
      <c r="B202" s="13" t="s">
        <v>12</v>
      </c>
      <c r="C202" s="21">
        <f>SUM(C203:C209)</f>
        <v>7270000000</v>
      </c>
      <c r="D202" s="21">
        <f t="shared" ref="D202:E202" si="10">SUM(D203:D209)</f>
        <v>2900000000</v>
      </c>
      <c r="E202" s="21">
        <f t="shared" si="10"/>
        <v>0</v>
      </c>
      <c r="F202" s="20">
        <f t="shared" si="9"/>
        <v>10170000000</v>
      </c>
    </row>
    <row r="203" spans="1:6" s="3" customFormat="1" ht="15.6" x14ac:dyDescent="0.3">
      <c r="A203" s="5"/>
      <c r="B203" s="9" t="s">
        <v>13</v>
      </c>
      <c r="C203" s="22">
        <v>1350000000</v>
      </c>
      <c r="D203" s="22">
        <v>2100000000</v>
      </c>
      <c r="E203" s="22"/>
      <c r="F203" s="32">
        <f t="shared" si="9"/>
        <v>3450000000</v>
      </c>
    </row>
    <row r="204" spans="1:6" s="3" customFormat="1" ht="15.6" x14ac:dyDescent="0.3">
      <c r="A204" s="5"/>
      <c r="B204" s="9" t="s">
        <v>14</v>
      </c>
      <c r="C204" s="22">
        <v>500000000</v>
      </c>
      <c r="D204" s="22">
        <v>650000000</v>
      </c>
      <c r="E204" s="22"/>
      <c r="F204" s="32">
        <f t="shared" si="9"/>
        <v>1150000000</v>
      </c>
    </row>
    <row r="205" spans="1:6" s="3" customFormat="1" ht="15.6" x14ac:dyDescent="0.3">
      <c r="A205" s="5"/>
      <c r="B205" s="9" t="s">
        <v>15</v>
      </c>
      <c r="C205" s="22">
        <v>2800000000</v>
      </c>
      <c r="D205" s="22">
        <v>150000000</v>
      </c>
      <c r="E205" s="22"/>
      <c r="F205" s="32">
        <f t="shared" si="9"/>
        <v>2950000000</v>
      </c>
    </row>
    <row r="206" spans="1:6" s="3" customFormat="1" ht="15.6" x14ac:dyDescent="0.3">
      <c r="A206" s="5"/>
      <c r="B206" s="9" t="s">
        <v>199</v>
      </c>
      <c r="C206" s="22">
        <v>1580000000</v>
      </c>
      <c r="D206" s="22"/>
      <c r="E206" s="22"/>
      <c r="F206" s="32">
        <f t="shared" si="9"/>
        <v>1580000000</v>
      </c>
    </row>
    <row r="207" spans="1:6" s="3" customFormat="1" ht="15.6" x14ac:dyDescent="0.3">
      <c r="A207" s="5"/>
      <c r="B207" s="9" t="s">
        <v>200</v>
      </c>
      <c r="C207" s="22">
        <v>200000000</v>
      </c>
      <c r="D207" s="22"/>
      <c r="E207" s="22"/>
      <c r="F207" s="32">
        <f t="shared" si="9"/>
        <v>200000000</v>
      </c>
    </row>
    <row r="208" spans="1:6" s="3" customFormat="1" ht="15.6" x14ac:dyDescent="0.3">
      <c r="A208" s="5"/>
      <c r="B208" s="9" t="s">
        <v>201</v>
      </c>
      <c r="C208" s="22">
        <v>200000000</v>
      </c>
      <c r="D208" s="22"/>
      <c r="E208" s="22"/>
      <c r="F208" s="32">
        <f t="shared" si="9"/>
        <v>200000000</v>
      </c>
    </row>
    <row r="209" spans="1:6" s="3" customFormat="1" ht="15.6" x14ac:dyDescent="0.3">
      <c r="A209" s="5"/>
      <c r="B209" s="9" t="s">
        <v>202</v>
      </c>
      <c r="C209" s="22">
        <v>640000000</v>
      </c>
      <c r="D209" s="22"/>
      <c r="E209" s="22"/>
      <c r="F209" s="32">
        <f t="shared" si="9"/>
        <v>640000000</v>
      </c>
    </row>
    <row r="210" spans="1:6" s="3" customFormat="1" ht="15.6" x14ac:dyDescent="0.3">
      <c r="A210" s="5" t="s">
        <v>7</v>
      </c>
      <c r="B210" s="13" t="s">
        <v>16</v>
      </c>
      <c r="C210" s="21">
        <f>SUM(C211:C228)</f>
        <v>16222000000</v>
      </c>
      <c r="D210" s="21">
        <f t="shared" ref="D210:F210" si="11">SUM(D211:D228)</f>
        <v>1950000000</v>
      </c>
      <c r="E210" s="21">
        <f t="shared" si="11"/>
        <v>2800000000</v>
      </c>
      <c r="F210" s="21">
        <f t="shared" si="11"/>
        <v>15372000000</v>
      </c>
    </row>
    <row r="211" spans="1:6" s="3" customFormat="1" ht="15.6" x14ac:dyDescent="0.3">
      <c r="A211" s="5"/>
      <c r="B211" s="9" t="s">
        <v>17</v>
      </c>
      <c r="C211" s="22">
        <v>1247000000</v>
      </c>
      <c r="D211" s="22">
        <v>1300000000</v>
      </c>
      <c r="E211" s="22"/>
      <c r="F211" s="22">
        <f>C211+D211-E211</f>
        <v>2547000000</v>
      </c>
    </row>
    <row r="212" spans="1:6" s="3" customFormat="1" ht="15.6" x14ac:dyDescent="0.3">
      <c r="A212" s="5"/>
      <c r="B212" s="9" t="s">
        <v>203</v>
      </c>
      <c r="C212" s="22">
        <f>'[1]KẾ HOẠCH ĐẦU TƯ 2024'!$J$118</f>
        <v>300000000</v>
      </c>
      <c r="D212" s="22"/>
      <c r="E212" s="22">
        <v>300000000</v>
      </c>
      <c r="F212" s="22">
        <f t="shared" ref="F212:F228" si="12">C212+D212-E212</f>
        <v>0</v>
      </c>
    </row>
    <row r="213" spans="1:6" s="3" customFormat="1" ht="15.6" x14ac:dyDescent="0.3">
      <c r="A213" s="5"/>
      <c r="B213" s="9" t="s">
        <v>204</v>
      </c>
      <c r="C213" s="22">
        <v>1000000000</v>
      </c>
      <c r="D213" s="22"/>
      <c r="E213" s="22">
        <v>0</v>
      </c>
      <c r="F213" s="22">
        <f t="shared" si="12"/>
        <v>1000000000</v>
      </c>
    </row>
    <row r="214" spans="1:6" s="3" customFormat="1" ht="15.6" x14ac:dyDescent="0.3">
      <c r="A214" s="5"/>
      <c r="B214" s="9" t="s">
        <v>205</v>
      </c>
      <c r="C214" s="22">
        <v>1000000000</v>
      </c>
      <c r="D214" s="22"/>
      <c r="E214" s="22">
        <v>500000000</v>
      </c>
      <c r="F214" s="22">
        <f t="shared" si="12"/>
        <v>500000000</v>
      </c>
    </row>
    <row r="215" spans="1:6" s="3" customFormat="1" ht="15.6" x14ac:dyDescent="0.3">
      <c r="A215" s="5"/>
      <c r="B215" s="9" t="s">
        <v>206</v>
      </c>
      <c r="C215" s="22">
        <v>450000000</v>
      </c>
      <c r="D215" s="22"/>
      <c r="E215" s="22">
        <v>180000000</v>
      </c>
      <c r="F215" s="22">
        <f t="shared" si="12"/>
        <v>270000000</v>
      </c>
    </row>
    <row r="216" spans="1:6" s="3" customFormat="1" ht="15.6" x14ac:dyDescent="0.3">
      <c r="A216" s="5"/>
      <c r="B216" s="9" t="s">
        <v>207</v>
      </c>
      <c r="C216" s="22">
        <v>600000000</v>
      </c>
      <c r="D216" s="22"/>
      <c r="E216" s="22"/>
      <c r="F216" s="22">
        <f t="shared" si="12"/>
        <v>600000000</v>
      </c>
    </row>
    <row r="217" spans="1:6" s="3" customFormat="1" ht="15.6" x14ac:dyDescent="0.3">
      <c r="A217" s="5"/>
      <c r="B217" s="9" t="s">
        <v>208</v>
      </c>
      <c r="C217" s="22">
        <v>540000000</v>
      </c>
      <c r="D217" s="22"/>
      <c r="E217" s="22">
        <v>540000000</v>
      </c>
      <c r="F217" s="22">
        <f t="shared" si="12"/>
        <v>0</v>
      </c>
    </row>
    <row r="218" spans="1:6" s="3" customFormat="1" ht="15.6" x14ac:dyDescent="0.3">
      <c r="A218" s="5"/>
      <c r="B218" s="9" t="s">
        <v>209</v>
      </c>
      <c r="C218" s="22">
        <v>500000000</v>
      </c>
      <c r="D218" s="22"/>
      <c r="E218" s="22"/>
      <c r="F218" s="22">
        <f t="shared" si="12"/>
        <v>500000000</v>
      </c>
    </row>
    <row r="219" spans="1:6" s="3" customFormat="1" ht="15.6" x14ac:dyDescent="0.3">
      <c r="A219" s="5"/>
      <c r="B219" s="9" t="s">
        <v>210</v>
      </c>
      <c r="C219" s="22">
        <f>'[1]KẾ HOẠCH ĐẦU TƯ 2024'!$J$125</f>
        <v>280000000</v>
      </c>
      <c r="D219" s="22"/>
      <c r="E219" s="22">
        <f>C219</f>
        <v>280000000</v>
      </c>
      <c r="F219" s="22">
        <f t="shared" si="12"/>
        <v>0</v>
      </c>
    </row>
    <row r="220" spans="1:6" s="3" customFormat="1" ht="15.6" x14ac:dyDescent="0.3">
      <c r="A220" s="5"/>
      <c r="B220" s="9" t="s">
        <v>211</v>
      </c>
      <c r="C220" s="22">
        <f>610000000-150000000</f>
        <v>460000000</v>
      </c>
      <c r="D220" s="22"/>
      <c r="E220" s="22"/>
      <c r="F220" s="22">
        <f t="shared" si="12"/>
        <v>460000000</v>
      </c>
    </row>
    <row r="221" spans="1:6" s="3" customFormat="1" ht="15.6" x14ac:dyDescent="0.3">
      <c r="A221" s="5"/>
      <c r="B221" s="9" t="s">
        <v>212</v>
      </c>
      <c r="C221" s="22">
        <v>480000000</v>
      </c>
      <c r="D221" s="22"/>
      <c r="E221" s="22"/>
      <c r="F221" s="22">
        <f t="shared" si="12"/>
        <v>480000000</v>
      </c>
    </row>
    <row r="222" spans="1:6" s="3" customFormat="1" ht="15.6" x14ac:dyDescent="0.3">
      <c r="A222" s="5"/>
      <c r="B222" s="9" t="s">
        <v>213</v>
      </c>
      <c r="C222" s="22">
        <v>2765000000</v>
      </c>
      <c r="D222" s="22"/>
      <c r="E222" s="22"/>
      <c r="F222" s="22">
        <f t="shared" si="12"/>
        <v>2765000000</v>
      </c>
    </row>
    <row r="223" spans="1:6" s="3" customFormat="1" ht="15.6" x14ac:dyDescent="0.3">
      <c r="A223" s="5"/>
      <c r="B223" s="9" t="s">
        <v>214</v>
      </c>
      <c r="C223" s="22">
        <v>2700000000</v>
      </c>
      <c r="D223" s="22"/>
      <c r="E223" s="22"/>
      <c r="F223" s="22">
        <f t="shared" si="12"/>
        <v>2700000000</v>
      </c>
    </row>
    <row r="224" spans="1:6" s="3" customFormat="1" ht="15.6" x14ac:dyDescent="0.3">
      <c r="A224" s="5"/>
      <c r="B224" s="9" t="s">
        <v>215</v>
      </c>
      <c r="C224" s="22">
        <v>1000000000</v>
      </c>
      <c r="D224" s="22"/>
      <c r="E224" s="22">
        <v>500000000</v>
      </c>
      <c r="F224" s="22">
        <f t="shared" si="12"/>
        <v>500000000</v>
      </c>
    </row>
    <row r="225" spans="1:6" s="3" customFormat="1" ht="15.6" x14ac:dyDescent="0.3">
      <c r="A225" s="5"/>
      <c r="B225" s="9" t="s">
        <v>216</v>
      </c>
      <c r="C225" s="22">
        <v>400000000</v>
      </c>
      <c r="D225" s="22"/>
      <c r="E225" s="22"/>
      <c r="F225" s="22">
        <f t="shared" si="12"/>
        <v>400000000</v>
      </c>
    </row>
    <row r="226" spans="1:6" s="3" customFormat="1" ht="15.6" x14ac:dyDescent="0.3">
      <c r="A226" s="5"/>
      <c r="B226" s="9" t="s">
        <v>217</v>
      </c>
      <c r="C226" s="22">
        <v>2500000000</v>
      </c>
      <c r="D226" s="22"/>
      <c r="E226" s="22">
        <v>500000000</v>
      </c>
      <c r="F226" s="22">
        <f t="shared" si="12"/>
        <v>2000000000</v>
      </c>
    </row>
    <row r="227" spans="1:6" s="3" customFormat="1" ht="27.6" x14ac:dyDescent="0.3">
      <c r="A227" s="5"/>
      <c r="B227" s="15" t="s">
        <v>20</v>
      </c>
      <c r="C227" s="22"/>
      <c r="D227" s="22">
        <v>350000000</v>
      </c>
      <c r="E227" s="22"/>
      <c r="F227" s="22">
        <f t="shared" si="12"/>
        <v>350000000</v>
      </c>
    </row>
    <row r="228" spans="1:6" s="3" customFormat="1" ht="15.6" x14ac:dyDescent="0.3">
      <c r="A228" s="5"/>
      <c r="B228" s="15" t="s">
        <v>26</v>
      </c>
      <c r="C228" s="22"/>
      <c r="D228" s="22">
        <v>300000000</v>
      </c>
      <c r="E228" s="22"/>
      <c r="F228" s="22">
        <f t="shared" si="12"/>
        <v>300000000</v>
      </c>
    </row>
    <row r="229" spans="1:6" s="3" customFormat="1" ht="15.6" x14ac:dyDescent="0.3">
      <c r="A229" s="5" t="s">
        <v>218</v>
      </c>
      <c r="B229" s="13" t="s">
        <v>219</v>
      </c>
      <c r="C229" s="21">
        <v>320000000</v>
      </c>
      <c r="D229" s="21"/>
      <c r="E229" s="21"/>
      <c r="F229" s="21">
        <f>C229</f>
        <v>320000000</v>
      </c>
    </row>
  </sheetData>
  <mergeCells count="6">
    <mergeCell ref="A1:F1"/>
    <mergeCell ref="D3:E3"/>
    <mergeCell ref="A3:A4"/>
    <mergeCell ref="B3:B4"/>
    <mergeCell ref="C3:C4"/>
    <mergeCell ref="F3:F4"/>
  </mergeCells>
  <pageMargins left="0.45" right="0.45" top="0.5" bottom="0.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Phụ lục điều chỉnh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2024-08-14T01:32:09Z</dcterms:modified>
</cp:coreProperties>
</file>